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deckers-my.sharepoint.com/personal/dylan_fender_deckers_com/Documents/EDI/Business Case/"/>
    </mc:Choice>
  </mc:AlternateContent>
  <xr:revisionPtr revIDLastSave="0" documentId="8_{1C21B9E7-B829-4C6E-AB8D-03E2C508095E}" xr6:coauthVersionLast="47" xr6:coauthVersionMax="47" xr10:uidLastSave="{00000000-0000-0000-0000-000000000000}"/>
  <bookViews>
    <workbookView xWindow="-110" yWindow="-110" windowWidth="19420" windowHeight="11500" xr2:uid="{EAED6FB9-79B0-423D-B035-4F792D31DE5F}"/>
  </bookViews>
  <sheets>
    <sheet name="ROI" sheetId="1" r:id="rId1"/>
    <sheet name="Scenario" sheetId="5" r:id="rId2"/>
    <sheet name="Benefit Assumption" sheetId="7" r:id="rId3"/>
    <sheet name="Cost Assumptions" sheetId="8" r:id="rId4"/>
    <sheet name="Wholesale FY25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D19" i="1" s="1"/>
  <c r="G19" i="1" s="1"/>
  <c r="F11" i="7"/>
  <c r="F8" i="7"/>
  <c r="F10" i="7"/>
  <c r="C40" i="7"/>
  <c r="B4" i="1"/>
  <c r="G41" i="7"/>
  <c r="D13" i="5" s="1"/>
  <c r="E22" i="5" s="1"/>
  <c r="E21" i="5"/>
  <c r="F4" i="8"/>
  <c r="G4" i="8"/>
  <c r="E4" i="8"/>
  <c r="C3" i="5" s="1"/>
  <c r="E3" i="5"/>
  <c r="D22" i="5" l="1"/>
  <c r="F41" i="7"/>
  <c r="C13" i="5" s="1"/>
  <c r="H41" i="7"/>
  <c r="E13" i="5" s="1"/>
  <c r="D3" i="5"/>
  <c r="C4" i="1" l="1"/>
  <c r="D4" i="1" s="1"/>
  <c r="G4" i="1" l="1"/>
  <c r="F2" i="6" l="1"/>
  <c r="C4" i="7"/>
  <c r="C1" i="7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D62" i="6"/>
  <c r="B62" i="6"/>
  <c r="E6" i="1"/>
  <c r="F6" i="1"/>
  <c r="E9" i="1"/>
  <c r="E10" i="1" s="1"/>
  <c r="D9" i="1"/>
  <c r="C9" i="1"/>
  <c r="B9" i="1"/>
  <c r="F9" i="1"/>
  <c r="G5" i="1"/>
  <c r="G8" i="1"/>
  <c r="G7" i="1"/>
  <c r="F18" i="1"/>
  <c r="E18" i="1"/>
  <c r="E28" i="1" l="1"/>
  <c r="E29" i="1" s="1"/>
  <c r="F10" i="1"/>
  <c r="F28" i="1" s="1"/>
  <c r="F29" i="1" s="1"/>
  <c r="C19" i="7"/>
  <c r="F14" i="7" s="1"/>
  <c r="B3" i="1"/>
  <c r="B6" i="1" s="1"/>
  <c r="B10" i="1" s="1"/>
  <c r="C6" i="8"/>
  <c r="C30" i="7"/>
  <c r="F30" i="7" s="1"/>
  <c r="F31" i="7" s="1"/>
  <c r="C9" i="7"/>
  <c r="F7" i="7" s="1"/>
  <c r="C7" i="7"/>
  <c r="F4" i="7" s="1"/>
  <c r="F5" i="7" s="1"/>
  <c r="G9" i="1"/>
  <c r="D3" i="1"/>
  <c r="D6" i="1" s="1"/>
  <c r="D10" i="1" s="1"/>
  <c r="C3" i="1"/>
  <c r="C6" i="1" s="1"/>
  <c r="C10" i="1" s="1"/>
  <c r="G10" i="1" l="1"/>
  <c r="F6" i="8"/>
  <c r="E6" i="8"/>
  <c r="G6" i="8"/>
  <c r="G14" i="7"/>
  <c r="D10" i="5" s="1"/>
  <c r="H14" i="7"/>
  <c r="E10" i="5" s="1"/>
  <c r="C32" i="7"/>
  <c r="G30" i="7"/>
  <c r="G31" i="7" s="1"/>
  <c r="D9" i="5"/>
  <c r="H30" i="7"/>
  <c r="H31" i="7" s="1"/>
  <c r="G7" i="7"/>
  <c r="G8" i="7" s="1"/>
  <c r="H7" i="7"/>
  <c r="H8" i="7" s="1"/>
  <c r="E7" i="7"/>
  <c r="E8" i="7" s="1"/>
  <c r="G4" i="7"/>
  <c r="G5" i="7" s="1"/>
  <c r="H4" i="7"/>
  <c r="H5" i="7" s="1"/>
  <c r="E4" i="7"/>
  <c r="E5" i="7" s="1"/>
  <c r="E30" i="7"/>
  <c r="C10" i="5"/>
  <c r="G3" i="1"/>
  <c r="G6" i="1" s="1"/>
  <c r="D19" i="5" l="1"/>
  <c r="E19" i="5"/>
  <c r="C19" i="5"/>
  <c r="E4" i="5"/>
  <c r="E5" i="5" s="1"/>
  <c r="G8" i="8"/>
  <c r="E8" i="8"/>
  <c r="C4" i="5"/>
  <c r="C5" i="5" s="1"/>
  <c r="C18" i="5"/>
  <c r="D18" i="5"/>
  <c r="E18" i="5"/>
  <c r="D4" i="5"/>
  <c r="D5" i="5" s="1"/>
  <c r="F8" i="8"/>
  <c r="E31" i="7"/>
  <c r="F32" i="7" s="1"/>
  <c r="C11" i="5" s="1"/>
  <c r="G10" i="7"/>
  <c r="G11" i="7" s="1"/>
  <c r="E9" i="5" s="1"/>
  <c r="E10" i="7"/>
  <c r="E11" i="7" s="1"/>
  <c r="C9" i="5" s="1"/>
  <c r="H10" i="7"/>
  <c r="H11" i="7" s="1"/>
  <c r="H32" i="7"/>
  <c r="E11" i="5" s="1"/>
  <c r="E32" i="7"/>
  <c r="G32" i="7" l="1"/>
  <c r="D11" i="5" s="1"/>
  <c r="C14" i="5"/>
  <c r="E14" i="5"/>
  <c r="E20" i="5" l="1"/>
  <c r="D20" i="5"/>
  <c r="C20" i="5"/>
  <c r="C23" i="5" s="1"/>
  <c r="D14" i="5"/>
  <c r="D23" i="5"/>
  <c r="B13" i="1" l="1" a="1"/>
  <c r="B13" i="1" s="1"/>
  <c r="C13" i="1" a="1"/>
  <c r="B18" i="1" l="1"/>
  <c r="B28" i="1" s="1"/>
  <c r="B29" i="1" s="1"/>
  <c r="C13" i="1"/>
  <c r="D13" i="1" a="1"/>
  <c r="D13" i="1" s="1"/>
  <c r="D18" i="1" s="1"/>
  <c r="D28" i="1" s="1"/>
  <c r="D29" i="1" s="1"/>
  <c r="E23" i="5"/>
  <c r="G14" i="1" l="1"/>
  <c r="G16" i="1"/>
  <c r="G15" i="1"/>
  <c r="G17" i="1"/>
  <c r="C18" i="1"/>
  <c r="C28" i="1" s="1"/>
  <c r="C29" i="1" s="1"/>
  <c r="G13" i="1"/>
  <c r="G18" i="1" l="1"/>
  <c r="G28" i="1" s="1"/>
  <c r="G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tc={F671BB16-076B-4943-A8A4-9ACAC9E38749}</author>
    <author>tc={7D5BB873-FB12-4EF0-AF64-CD913D297BF8}</author>
    <author>tc={129D628A-38C1-4F93-80EE-4F53D9CEC6CF}</author>
  </authors>
  <commentList>
    <comment ref="A13" authorId="0" shapeId="0" xr:uid="{F671BB16-076B-4943-A8A4-9ACAC9E3874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When stock is unavailable on a retailer’s shelf (or website), customers either:
1) Buy another brand
2) Postpone the purchase
3) Shop elsewhere
By improving product availability, we’re capturing demand that would have otherwise been missed.
</t>
      </text>
    </comment>
    <comment ref="A14" authorId="1" shapeId="0" xr:uid="{7D5BB873-FB12-4EF0-AF64-CD913D297BF8}">
      <text>
        <t>[Threaded comment]
Your version of Excel allows you to read this threaded comment; however, any edits to it will get removed if the file is opened in a newer version of Excel. Learn more: https://go.microsoft.com/fwlink/?linkid=870924
Comment:
    Upside from margin increase due to reduction in close-out sales and converting these sales in to full price due to better allocation of stock (product that the customer wants)</t>
      </text>
    </comment>
    <comment ref="A19" authorId="2" shapeId="0" xr:uid="{129D628A-38C1-4F93-80EE-4F53D9CEC6CF}">
      <text>
        <t>[Threaded comment]
Your version of Excel allows you to read this threaded comment; however, any edits to it will get removed if the file is opened in a newer version of Excel. Learn more: https://go.microsoft.com/fwlink/?linkid=870924
Comment:
    12 month contract at $34,754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tc={C18F68C9-E736-4312-9437-F133623C28CC}</author>
    <author>tc={F6CF9CF5-9579-40F9-91AF-0BFA805CF5CE}</author>
    <author>tc={2153173B-C9DC-47CC-A2CF-B132B9FD7A5D}</author>
    <author>tc={0B903C56-88D8-475B-86A7-98CD1F2B475F}</author>
  </authors>
  <commentList>
    <comment ref="B9" authorId="0" shapeId="0" xr:uid="{C18F68C9-E736-4312-9437-F133623C28C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When stock is unavailable on a retailer’s shelf (or website), customers either:
1) Buy another brand
2) Postpone the purchase
3) Shop elsewhere
By improving product availability, you're simply capturing demand that would have otherwise been missed.
</t>
      </text>
    </comment>
    <comment ref="B10" authorId="1" shapeId="0" xr:uid="{F6CF9CF5-9579-40F9-91AF-0BFA805CF5CE}">
      <text>
        <t>[Threaded comment]
Your version of Excel allows you to read this threaded comment; however, any edits to it will get removed if the file is opened in a newer version of Excel. Learn more: https://go.microsoft.com/fwlink/?linkid=870924
Comment:
    Upside from margin increase due to reduction in close-out sales and converting these sales in to full price due to better allocation of stock (product that the customer wants)</t>
      </text>
    </comment>
    <comment ref="B18" authorId="2" shapeId="0" xr:uid="{2153173B-C9DC-47CC-A2CF-B132B9FD7A5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When stock is unavailable on a retailer’s shelf (or website), customers either:
1) Buy another brand
2) Postpone the purchase
3) Shop elsewhere
By improving product availability, you're simply capturing demand that would have otherwise been missed.
</t>
      </text>
    </comment>
    <comment ref="B19" authorId="3" shapeId="0" xr:uid="{0B903C56-88D8-475B-86A7-98CD1F2B475F}">
      <text>
        <t>[Threaded comment]
Your version of Excel allows you to read this threaded comment; however, any edits to it will get removed if the file is opened in a newer version of Excel. Learn more: https://go.microsoft.com/fwlink/?linkid=870924
Comment:
    Upside from margin increase due to reduction in close-out sales and converting these sales in to full price due to better allocation of stock (product that the customer wants)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tc={0034DBBA-8837-4C8E-8F4D-FFBB5235698B}</author>
  </authors>
  <commentList>
    <comment ref="B3" authorId="0" shapeId="0" xr:uid="{0034DBBA-8837-4C8E-8F4D-FFBB5235698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When stock is unavailable on a retailer’s shelf (or website), customers either:
1) Buy another brand
2) Postpone the purchase
3) Shop elsewhere
By improving product availability, you're simply capturing demand that would have otherwise been missed.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<sst xmlns="http://schemas.openxmlformats.org/spreadsheetml/2006/main" count="341" uniqueCount="273">
  <si>
    <r>
      <t xml:space="preserve">All figures based on </t>
    </r>
    <r>
      <rPr>
        <b/>
        <u/>
        <sz val="11"/>
        <color theme="1"/>
        <rFont val="Aptos Narrow"/>
        <family val="2"/>
        <scheme val="minor"/>
      </rPr>
      <t>confirmed account coverage</t>
    </r>
    <r>
      <rPr>
        <b/>
        <sz val="11"/>
        <color theme="1"/>
        <rFont val="Aptos Narrow"/>
        <family val="2"/>
        <scheme val="minor"/>
      </rPr>
      <t xml:space="preserve"> by B24, as at 23 July 25, in USD Planned Rate</t>
    </r>
  </si>
  <si>
    <t>Cost</t>
  </si>
  <si>
    <t>Year 1</t>
  </si>
  <si>
    <t>Year 2</t>
  </si>
  <si>
    <t>Year 3</t>
  </si>
  <si>
    <t>Year 4</t>
  </si>
  <si>
    <t>Year 5</t>
  </si>
  <si>
    <t>Over 3</t>
  </si>
  <si>
    <t>*Factor in</t>
  </si>
  <si>
    <r>
      <t xml:space="preserve">Invoice Transaction Fee </t>
    </r>
    <r>
      <rPr>
        <i/>
        <sz val="11"/>
        <color theme="1"/>
        <rFont val="Aptos Narrow"/>
        <family val="2"/>
        <scheme val="minor"/>
      </rPr>
      <t>Variable (Usage Based)*</t>
    </r>
  </si>
  <si>
    <t>*Based on 0.15% of invoice value</t>
  </si>
  <si>
    <t>Monthly Subscription Fixed (Enterpise Package)*</t>
  </si>
  <si>
    <t>*Based on 3,999 CHF per month for 'Enterprise', Growth is 1999 CHF per month, on a per entity basis</t>
  </si>
  <si>
    <t>FX 1.25/CHF</t>
  </si>
  <si>
    <t>EDI Support Analyst</t>
  </si>
  <si>
    <t>Total Assumed Cost</t>
  </si>
  <si>
    <t>Project Manager*</t>
  </si>
  <si>
    <t>*Half in Year 1, half in Year 2 due to phased delivery approach (sell-through first, other enablers second)</t>
  </si>
  <si>
    <t>Solution Architect*</t>
  </si>
  <si>
    <t>Total Implementation (one-off) Cost</t>
  </si>
  <si>
    <t>Total Cost</t>
  </si>
  <si>
    <t>Quantitative Return*</t>
  </si>
  <si>
    <t>*See Scenario page for realised benefits approach under 'Benefit Realisation Schedule'</t>
  </si>
  <si>
    <t>OP Increase (resulting from higher sales)</t>
  </si>
  <si>
    <t>Reduced Close-out upside Wholesale</t>
  </si>
  <si>
    <t>Reduced ATP/Residual inventory</t>
  </si>
  <si>
    <t>Labour Savings from Order Automation*</t>
  </si>
  <si>
    <t>Reduced Chargebacks</t>
  </si>
  <si>
    <t>Total</t>
  </si>
  <si>
    <t>Termination of SPS Contract</t>
  </si>
  <si>
    <t>*Confirm that this is not cross charged to EMEA</t>
  </si>
  <si>
    <t>Qualitative Return</t>
  </si>
  <si>
    <t>Brand Equity Preservation</t>
  </si>
  <si>
    <t>Deepened Partner relationships</t>
  </si>
  <si>
    <t>Faster Time to Market Value Gain</t>
  </si>
  <si>
    <t>Re-purposed hours to value add tasks</t>
  </si>
  <si>
    <t>Net Benefit $</t>
  </si>
  <si>
    <t>ROI:</t>
  </si>
  <si>
    <t>COST SCENARIOS</t>
  </si>
  <si>
    <t>BENEFIT REALISATION SCHEDULE</t>
  </si>
  <si>
    <t>Key</t>
  </si>
  <si>
    <t>Annual Benefit</t>
  </si>
  <si>
    <t>Worst</t>
  </si>
  <si>
    <t>Likely</t>
  </si>
  <si>
    <t>Best</t>
  </si>
  <si>
    <t>Phase</t>
  </si>
  <si>
    <t>Duration</t>
  </si>
  <si>
    <t>Description</t>
  </si>
  <si>
    <t>Annual Subscription</t>
  </si>
  <si>
    <t>Implementation</t>
  </si>
  <si>
    <t>Months 0–6</t>
  </si>
  <si>
    <t>System setup, retailer integration, data mapping, PIM configuration</t>
  </si>
  <si>
    <t>Invoice Transaction Cost</t>
  </si>
  <si>
    <t>Stabilization</t>
  </si>
  <si>
    <t>Months 6–9</t>
  </si>
  <si>
    <t>EDI messages flowing, sell-through dashboards functional, training complete</t>
  </si>
  <si>
    <t>Initial ROI (soft gains)</t>
  </si>
  <si>
    <t>Months 9–12</t>
  </si>
  <si>
    <t>Reduced errors, early reorders, labor savings begin</t>
  </si>
  <si>
    <t>Full ROI (hard gains)</t>
  </si>
  <si>
    <t>Year 2 onward</t>
  </si>
  <si>
    <t>Improved forecasting, fewer closeouts, sales uplift measurable</t>
  </si>
  <si>
    <t>BENEFIT SCENARIOS</t>
  </si>
  <si>
    <t>Year</t>
  </si>
  <si>
    <t>ROI Realization</t>
  </si>
  <si>
    <t>Notes</t>
  </si>
  <si>
    <t>OP Increase (from higher sales)</t>
  </si>
  <si>
    <t>Year 0</t>
  </si>
  <si>
    <t>Setup and integration costs only</t>
  </si>
  <si>
    <t>40–60%</t>
  </si>
  <si>
    <t>Benefits begin, but not all partners onboarded yet</t>
  </si>
  <si>
    <t>80–100%</t>
  </si>
  <si>
    <t>Full functionality, higher adoption</t>
  </si>
  <si>
    <t>Labour Savings from Order Automation</t>
  </si>
  <si>
    <t>Year 3+</t>
  </si>
  <si>
    <t>100%+</t>
  </si>
  <si>
    <t>Incremental gains from automation, scale, new use cases</t>
  </si>
  <si>
    <t>ANNUALISED</t>
  </si>
  <si>
    <t>Benefit</t>
  </si>
  <si>
    <t>Total Sales for B24 confirmed Customers</t>
  </si>
  <si>
    <t>Assumptions</t>
  </si>
  <si>
    <t>Drivers:</t>
  </si>
  <si>
    <t>FY25 Units</t>
  </si>
  <si>
    <t>Re-Order Units Increase</t>
  </si>
  <si>
    <t>Sales acceleration over and above plan</t>
  </si>
  <si>
    <t>1. Better inventory availability, timely read on best sellers, live read on sell through</t>
  </si>
  <si>
    <t>FY 25 ASP</t>
  </si>
  <si>
    <t>USD Planned Rate</t>
  </si>
  <si>
    <t>2. Better read from customer on sell through</t>
  </si>
  <si>
    <t>% Re-orders of Total Sales</t>
  </si>
  <si>
    <t>3. Short term: increased re-orders for styles that are successful 15% of total Wholesale Transactions</t>
  </si>
  <si>
    <t>Total Re-order Units</t>
  </si>
  <si>
    <t>Pre-season Units Increase</t>
  </si>
  <si>
    <t>4. Long term: better seasonal planning e.g. styles that perform better at specific times of the year</t>
  </si>
  <si>
    <t>% of Total Sales Pre-season</t>
  </si>
  <si>
    <t>US Planned Rate</t>
  </si>
  <si>
    <t>Total Pre-season Sales</t>
  </si>
  <si>
    <t>Totals</t>
  </si>
  <si>
    <t>Margin %</t>
  </si>
  <si>
    <t>Gross Sales</t>
  </si>
  <si>
    <t>Net Sales</t>
  </si>
  <si>
    <t>Wholesale Close out Assumptions</t>
  </si>
  <si>
    <t>Even</t>
  </si>
  <si>
    <t>Close out % of overall Sales</t>
  </si>
  <si>
    <t>Close out Margin</t>
  </si>
  <si>
    <t>Full Price Margin</t>
  </si>
  <si>
    <t>Margin Improvement</t>
  </si>
  <si>
    <t>35-&gt;55%</t>
  </si>
  <si>
    <t>Margin increase</t>
  </si>
  <si>
    <t>Total Close out Sales</t>
  </si>
  <si>
    <t>DTC Close out Assumptions</t>
  </si>
  <si>
    <t>Warehouse Cost (per unit) all EU</t>
  </si>
  <si>
    <t>UK only</t>
  </si>
  <si>
    <t>Close out ASP</t>
  </si>
  <si>
    <t>Inbound Processing</t>
  </si>
  <si>
    <t>COGS</t>
  </si>
  <si>
    <t>Storage</t>
  </si>
  <si>
    <t>Margin Loss</t>
  </si>
  <si>
    <t>Labour (Pick &amp; Pack)</t>
  </si>
  <si>
    <t>Margin Lose Total</t>
  </si>
  <si>
    <t>Packaging</t>
  </si>
  <si>
    <t>Residual Inventory Proportion (Written Off)</t>
  </si>
  <si>
    <t>Total Orders Residual</t>
  </si>
  <si>
    <t>Redution in Residual Inventory</t>
  </si>
  <si>
    <t>No reduction</t>
  </si>
  <si>
    <t>Total Orders</t>
  </si>
  <si>
    <t>Residual Units</t>
  </si>
  <si>
    <t>ASP</t>
  </si>
  <si>
    <t>Total Cost USD</t>
  </si>
  <si>
    <t>Upside</t>
  </si>
  <si>
    <t>COGS+Warehouse Cost</t>
  </si>
  <si>
    <t>Cost of FTE Per annum CS</t>
  </si>
  <si>
    <t xml:space="preserve">Reduced Chargebacks </t>
  </si>
  <si>
    <t>Total Chargeback Fee's per annum (Adjusted for b24 Customers)</t>
  </si>
  <si>
    <t>Reduction in Admin/Penalty Charges VAS and Non-compliance</t>
  </si>
  <si>
    <t>B24 Fee's Scenario</t>
  </si>
  <si>
    <t>WORST</t>
  </si>
  <si>
    <t>LIKELY</t>
  </si>
  <si>
    <t>BEST</t>
  </si>
  <si>
    <t>Enterprise package per month 3,999 CHF / USD</t>
  </si>
  <si>
    <t>Number of Entities</t>
  </si>
  <si>
    <t>* Enterprise package at 3,999 CHF per month</t>
  </si>
  <si>
    <t>Planned Rate 1.25/CHF</t>
  </si>
  <si>
    <t>Fixed Cost Package Per Year</t>
  </si>
  <si>
    <t>*Enterprise package at 0.15% of invoiced value</t>
  </si>
  <si>
    <t xml:space="preserve">Number of Entities </t>
  </si>
  <si>
    <t>Transaction Value *FIXED</t>
  </si>
  <si>
    <t>Assumptions are that we don't start paying the invoice value until year 2 (or half way through year 1)</t>
  </si>
  <si>
    <t>Total Invoiced Amnount per year</t>
  </si>
  <si>
    <t>Transaction Cost Per Year</t>
  </si>
  <si>
    <t>Enterprise package based on the big 4 Entities in region (UK, France, Germany, Italy)</t>
  </si>
  <si>
    <t xml:space="preserve">Cost of transaction value per year </t>
  </si>
  <si>
    <t>customer_name</t>
  </si>
  <si>
    <t>Order Count</t>
  </si>
  <si>
    <t>Billings_planned_dollars</t>
  </si>
  <si>
    <t>Units</t>
  </si>
  <si>
    <t>VPO</t>
  </si>
  <si>
    <t>Zalando SE-UGG</t>
  </si>
  <si>
    <t>Foot Locker Europe BV-UGG</t>
  </si>
  <si>
    <t>INTERSPORT - Four: 65108000-HOKA</t>
  </si>
  <si>
    <t>12,488,483</t>
  </si>
  <si>
    <t>Zalando SE-HOKA</t>
  </si>
  <si>
    <t>9,898,792</t>
  </si>
  <si>
    <t>INTERSPORT ITALIA S.P.A.-HOKA</t>
  </si>
  <si>
    <t>6,049,478</t>
  </si>
  <si>
    <t>Foot Locker Europe BV-HOKA</t>
  </si>
  <si>
    <t>4,442,826</t>
  </si>
  <si>
    <t>E. Breuninger GmbH &amp; Co.-UGG</t>
  </si>
  <si>
    <t>4,315,121</t>
  </si>
  <si>
    <t>Otto GmbH &amp; Co KG-UGG</t>
  </si>
  <si>
    <t>3,849,330</t>
  </si>
  <si>
    <t>ABOUT YOU SE &amp; Co. KG-UGG</t>
  </si>
  <si>
    <t>3,756,493</t>
  </si>
  <si>
    <t>Magazijn de Bijenkorf B.V. #85504-UGG</t>
  </si>
  <si>
    <t>2,793,669</t>
  </si>
  <si>
    <t>Intersport Austria GmbH-HOKA</t>
  </si>
  <si>
    <t>2,708,617</t>
  </si>
  <si>
    <t>All4running B.V.-HOKA</t>
  </si>
  <si>
    <t>2,137,360</t>
  </si>
  <si>
    <t>Next Retail Ltd-UGG</t>
  </si>
  <si>
    <t>1,657,447</t>
  </si>
  <si>
    <t>John Lewis PLC #86633-UGG</t>
  </si>
  <si>
    <t>1,365,708</t>
  </si>
  <si>
    <t>Ochsner Sport AG-HOKA</t>
  </si>
  <si>
    <t>1,697,678</t>
  </si>
  <si>
    <t>Sport Scheck GmbH-HOKA</t>
  </si>
  <si>
    <t>1,368,626</t>
  </si>
  <si>
    <t>ABOUT YOU SE &amp; Co. KG-HOKA</t>
  </si>
  <si>
    <t>1,161,318</t>
  </si>
  <si>
    <t>GAME 7 ATHLETICS SRL-HOKA</t>
  </si>
  <si>
    <t>1,007,863</t>
  </si>
  <si>
    <t>GAME 7 ATHLETICS SRL-UGG</t>
  </si>
  <si>
    <t>679,962</t>
  </si>
  <si>
    <t>PRINTEMPS SAS-UGG</t>
  </si>
  <si>
    <t>553,047</t>
  </si>
  <si>
    <t>FOOT LOCKER (UK) LTD-UGG</t>
  </si>
  <si>
    <t>423,501</t>
  </si>
  <si>
    <t>Ochsner Shoes AG-UGG</t>
  </si>
  <si>
    <t>614,511</t>
  </si>
  <si>
    <t>E. Breuninger GmbH &amp; Co.-HOKA</t>
  </si>
  <si>
    <t>419,852</t>
  </si>
  <si>
    <t>Bergzeit GmbH-HOKA</t>
  </si>
  <si>
    <t>435,132</t>
  </si>
  <si>
    <t>DECATHLON SPORTS IRELAND LTD-HOKA</t>
  </si>
  <si>
    <t>391,286</t>
  </si>
  <si>
    <t>FOOT LOCKER (UK) LTD-HOKA</t>
  </si>
  <si>
    <t>369,058</t>
  </si>
  <si>
    <t>INTERSPORT Deutschland eG-HOKA</t>
  </si>
  <si>
    <t>325,921</t>
  </si>
  <si>
    <t>Sport Scheck GmbH-UGG</t>
  </si>
  <si>
    <t>292,557</t>
  </si>
  <si>
    <t>Ochsner Sport AG-UGG</t>
  </si>
  <si>
    <t>200,403</t>
  </si>
  <si>
    <t>Sporthaus Schuster GmbH-HOKA</t>
  </si>
  <si>
    <t>168,711</t>
  </si>
  <si>
    <t>INTERSPORT Digital GmbH-HOKA</t>
  </si>
  <si>
    <t>156,358</t>
  </si>
  <si>
    <t>INTERSPORT - Four: 65108000-UGG</t>
  </si>
  <si>
    <t>160,992</t>
  </si>
  <si>
    <t>Otto GmbH &amp; Co. KG-HOKA</t>
  </si>
  <si>
    <t>131,859</t>
  </si>
  <si>
    <t>DECATHLON-HOKA</t>
  </si>
  <si>
    <t>87,947</t>
  </si>
  <si>
    <t>Decathlon Monaco-HOKA</t>
  </si>
  <si>
    <t>85,178</t>
  </si>
  <si>
    <t>Intersport Liebig-HOKA</t>
  </si>
  <si>
    <t>21,707</t>
  </si>
  <si>
    <t>Intersport Schweiz AG-HOKA</t>
  </si>
  <si>
    <t>22,866</t>
  </si>
  <si>
    <t>Intersport REILL-HOKA</t>
  </si>
  <si>
    <t>18,899</t>
  </si>
  <si>
    <t>Intersport Borgmann-HOKA</t>
  </si>
  <si>
    <t>14,795</t>
  </si>
  <si>
    <t>INTERSPORT GRABERT-HOKA</t>
  </si>
  <si>
    <t>14,457</t>
  </si>
  <si>
    <t>Intersport Gannons-HOKA</t>
  </si>
  <si>
    <t>15,494</t>
  </si>
  <si>
    <t>Intersport Hofmann-HOKA</t>
  </si>
  <si>
    <t>13,484</t>
  </si>
  <si>
    <t>Intersport Leithner-HOKA</t>
  </si>
  <si>
    <t>11,398</t>
  </si>
  <si>
    <t>PRINTEMPS SAS-HOKA</t>
  </si>
  <si>
    <t>11,631</t>
  </si>
  <si>
    <t>Intersport Ermelo-HOKA</t>
  </si>
  <si>
    <t>9,114</t>
  </si>
  <si>
    <t>Intersport van Dam-HOKA</t>
  </si>
  <si>
    <t>7,123</t>
  </si>
  <si>
    <t>Intersport Drachten-HOKA</t>
  </si>
  <si>
    <t>7,035</t>
  </si>
  <si>
    <t>Intersport Goes-HOKA</t>
  </si>
  <si>
    <t>6,091</t>
  </si>
  <si>
    <t>Intersport Düsterer-HOKA</t>
  </si>
  <si>
    <t>6,555</t>
  </si>
  <si>
    <t>Intersport Rebi-HOKA</t>
  </si>
  <si>
    <t>5,792</t>
  </si>
  <si>
    <t>Intersport Hopfmann-HOKA</t>
  </si>
  <si>
    <t>5,552</t>
  </si>
  <si>
    <t>Sporthaus Otto Witzky GmbH-HOKA</t>
  </si>
  <si>
    <t>4,853</t>
  </si>
  <si>
    <t>Soellaart Outdoor en Wintersport B.V.-HOKA</t>
  </si>
  <si>
    <t>5,212</t>
  </si>
  <si>
    <t>Intersport Berkhahn-HOKA</t>
  </si>
  <si>
    <t>4,847</t>
  </si>
  <si>
    <t>JML SPORTS - INTERSPORT LANS EN VERCORS-HOKA</t>
  </si>
  <si>
    <t>4,680</t>
  </si>
  <si>
    <t>Intersport Superstore Uden B.V.-HOKA</t>
  </si>
  <si>
    <t>2,926</t>
  </si>
  <si>
    <t>Intersport Stähle-HOKA</t>
  </si>
  <si>
    <t>2,080</t>
  </si>
  <si>
    <t>PRINTEMPS SAS HOMME - CONSIGNMENT-UGG</t>
  </si>
  <si>
    <t>$12,875)</t>
  </si>
  <si>
    <t>PRINTEMPS CONSIGNMENT-UGG</t>
  </si>
  <si>
    <t>$103,338)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</si>
</sst>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#,##0;\(#,##0\)"/>
    <numFmt numFmtId="166" formatCode="0.0%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149998474074526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4" fontId="0" fillId="2" borderId="0" xfId="1" applyNumberFormat="1" applyFont="1" applyFill="1" applyAlignment="1">
      <alignment horizontal="center" vertical="center"/>
    </xf>
    <xf numFmtId="10" fontId="0" fillId="0" borderId="0" xfId="0" applyNumberFormat="1"/>
    <xf numFmtId="3" fontId="0" fillId="0" borderId="0" xfId="0" applyNumberFormat="1"/>
    <xf numFmtId="164" fontId="0" fillId="0" borderId="0" xfId="1" applyNumberFormat="1" applyFont="1"/>
    <xf numFmtId="0" fontId="2" fillId="3" borderId="0" xfId="0" applyFont="1" applyFill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0" fillId="0" borderId="4" xfId="0" applyBorder="1"/>
    <xf numFmtId="0" fontId="0" fillId="0" borderId="5" xfId="0" applyBorder="1"/>
    <xf numFmtId="164" fontId="0" fillId="0" borderId="0" xfId="0" applyNumberFormat="1"/>
    <xf numFmtId="0" fontId="0" fillId="0" borderId="6" xfId="0" applyBorder="1"/>
    <xf numFmtId="0" fontId="0" fillId="0" borderId="7" xfId="0" applyBorder="1"/>
    <xf numFmtId="0" fontId="0" fillId="0" borderId="8" xfId="0" applyBorder="1"/>
    <xf numFmtId="164" fontId="0" fillId="4" borderId="0" xfId="1" applyNumberFormat="1" applyFont="1" applyFill="1" applyBorder="1"/>
    <xf numFmtId="164" fontId="0" fillId="3" borderId="0" xfId="1" applyNumberFormat="1" applyFont="1" applyFill="1" applyBorder="1"/>
    <xf numFmtId="0" fontId="0" fillId="0" borderId="2" xfId="0" applyBorder="1"/>
    <xf numFmtId="9" fontId="2" fillId="0" borderId="2" xfId="0" applyNumberFormat="1" applyFont="1" applyBorder="1"/>
    <xf numFmtId="9" fontId="2" fillId="0" borderId="3" xfId="0" applyNumberFormat="1" applyFont="1" applyBorder="1"/>
    <xf numFmtId="164" fontId="0" fillId="3" borderId="5" xfId="1" applyNumberFormat="1" applyFont="1" applyFill="1" applyBorder="1"/>
    <xf numFmtId="164" fontId="0" fillId="4" borderId="5" xfId="1" applyNumberFormat="1" applyFont="1" applyFill="1" applyBorder="1"/>
    <xf numFmtId="164" fontId="0" fillId="0" borderId="5" xfId="0" applyNumberFormat="1" applyBorder="1"/>
    <xf numFmtId="164" fontId="0" fillId="5" borderId="0" xfId="1" applyNumberFormat="1" applyFont="1" applyFill="1" applyBorder="1"/>
    <xf numFmtId="0" fontId="0" fillId="5" borderId="7" xfId="0" applyFill="1" applyBorder="1"/>
    <xf numFmtId="10" fontId="0" fillId="5" borderId="0" xfId="0" applyNumberFormat="1" applyFill="1" applyAlignment="1">
      <alignment horizontal="right"/>
    </xf>
    <xf numFmtId="0" fontId="0" fillId="5" borderId="0" xfId="0" applyFill="1" applyAlignment="1">
      <alignment horizontal="right"/>
    </xf>
    <xf numFmtId="9" fontId="0" fillId="5" borderId="0" xfId="0" applyNumberFormat="1" applyFill="1" applyAlignment="1">
      <alignment horizontal="right"/>
    </xf>
    <xf numFmtId="164" fontId="0" fillId="5" borderId="7" xfId="1" applyNumberFormat="1" applyFont="1" applyFill="1" applyBorder="1"/>
    <xf numFmtId="0" fontId="3" fillId="0" borderId="0" xfId="0" applyFont="1"/>
    <xf numFmtId="0" fontId="2" fillId="6" borderId="0" xfId="0" applyFont="1" applyFill="1"/>
    <xf numFmtId="165" fontId="0" fillId="4" borderId="0" xfId="0" applyNumberFormat="1" applyFill="1"/>
    <xf numFmtId="164" fontId="0" fillId="5" borderId="0" xfId="1" applyNumberFormat="1" applyFont="1" applyFill="1" applyBorder="1" applyAlignment="1">
      <alignment horizontal="right"/>
    </xf>
    <xf numFmtId="166" fontId="0" fillId="5" borderId="0" xfId="2" applyNumberFormat="1" applyFont="1" applyFill="1" applyBorder="1" applyAlignment="1">
      <alignment horizontal="right"/>
    </xf>
    <xf numFmtId="9" fontId="0" fillId="0" borderId="0" xfId="0" applyNumberFormat="1"/>
    <xf numFmtId="164" fontId="2" fillId="0" borderId="0" xfId="0" applyNumberFormat="1" applyFont="1"/>
    <xf numFmtId="9" fontId="0" fillId="0" borderId="0" xfId="2" applyFont="1"/>
    <xf numFmtId="9" fontId="0" fillId="5" borderId="0" xfId="0" applyNumberFormat="1" applyFill="1"/>
    <xf numFmtId="164" fontId="0" fillId="5" borderId="0" xfId="0" applyNumberFormat="1" applyFill="1"/>
    <xf numFmtId="0" fontId="0" fillId="5" borderId="0" xfId="0" applyFill="1"/>
    <xf numFmtId="9" fontId="2" fillId="0" borderId="0" xfId="0" applyNumberFormat="1" applyFont="1"/>
    <xf numFmtId="164" fontId="0" fillId="3" borderId="0" xfId="0" applyNumberFormat="1" applyFill="1"/>
    <xf numFmtId="10" fontId="2" fillId="0" borderId="0" xfId="2" applyNumberFormat="1" applyFont="1" applyBorder="1"/>
    <xf numFmtId="9" fontId="2" fillId="0" borderId="0" xfId="2" applyFont="1" applyBorder="1"/>
    <xf numFmtId="9" fontId="2" fillId="0" borderId="5" xfId="0" applyNumberFormat="1" applyFont="1" applyBorder="1"/>
    <xf numFmtId="164" fontId="0" fillId="3" borderId="5" xfId="0" applyNumberFormat="1" applyFill="1" applyBorder="1"/>
    <xf numFmtId="0" fontId="0" fillId="4" borderId="0" xfId="0" applyFill="1" applyAlignment="1">
      <alignment horizontal="center" vertical="center"/>
    </xf>
    <xf numFmtId="0" fontId="0" fillId="8" borderId="4" xfId="0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/>
    <xf numFmtId="0" fontId="0" fillId="0" borderId="0" xfId="0" applyAlignment="1">
      <alignment horizontal="left"/>
    </xf>
    <xf numFmtId="0" fontId="2" fillId="7" borderId="0" xfId="0" applyFont="1" applyFill="1" applyAlignment="1">
      <alignment horizontal="center" vertical="center"/>
    </xf>
    <xf numFmtId="164" fontId="2" fillId="7" borderId="0" xfId="1" applyNumberFormat="1" applyFont="1" applyFill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9" borderId="14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164" fontId="0" fillId="10" borderId="0" xfId="1" applyNumberFormat="1" applyFont="1" applyFill="1" applyBorder="1"/>
    <xf numFmtId="0" fontId="0" fillId="10" borderId="0" xfId="0" applyFill="1"/>
    <xf numFmtId="166" fontId="0" fillId="10" borderId="0" xfId="0" applyNumberFormat="1" applyFill="1"/>
    <xf numFmtId="164" fontId="0" fillId="10" borderId="0" xfId="0" applyNumberFormat="1" applyFill="1"/>
    <xf numFmtId="9" fontId="0" fillId="10" borderId="0" xfId="0" applyNumberFormat="1" applyFill="1"/>
    <xf numFmtId="0" fontId="2" fillId="0" borderId="9" xfId="0" applyFont="1" applyBorder="1"/>
    <xf numFmtId="9" fontId="2" fillId="0" borderId="10" xfId="0" applyNumberFormat="1" applyFont="1" applyBorder="1"/>
    <xf numFmtId="9" fontId="2" fillId="0" borderId="11" xfId="0" applyNumberFormat="1" applyFont="1" applyBorder="1"/>
    <xf numFmtId="0" fontId="0" fillId="0" borderId="10" xfId="0" applyBorder="1"/>
    <xf numFmtId="10" fontId="2" fillId="0" borderId="10" xfId="2" applyNumberFormat="1" applyFont="1" applyBorder="1"/>
    <xf numFmtId="164" fontId="2" fillId="4" borderId="0" xfId="1" applyNumberFormat="1" applyFont="1" applyFill="1"/>
    <xf numFmtId="0" fontId="4" fillId="9" borderId="7" xfId="0" applyFont="1" applyFill="1" applyBorder="1"/>
    <xf numFmtId="164" fontId="0" fillId="9" borderId="7" xfId="0" applyNumberFormat="1" applyFill="1" applyBorder="1"/>
    <xf numFmtId="164" fontId="0" fillId="9" borderId="8" xfId="0" applyNumberFormat="1" applyFill="1" applyBorder="1"/>
    <xf numFmtId="164" fontId="0" fillId="9" borderId="0" xfId="0" applyNumberFormat="1" applyFill="1"/>
    <xf numFmtId="164" fontId="0" fillId="9" borderId="5" xfId="0" applyNumberFormat="1" applyFill="1" applyBorder="1"/>
    <xf numFmtId="164" fontId="1" fillId="9" borderId="0" xfId="1" applyNumberFormat="1" applyFont="1" applyFill="1" applyBorder="1"/>
    <xf numFmtId="165" fontId="0" fillId="9" borderId="0" xfId="0" applyNumberFormat="1" applyFill="1"/>
    <xf numFmtId="164" fontId="0" fillId="9" borderId="0" xfId="1" applyNumberFormat="1" applyFont="1" applyFill="1" applyBorder="1"/>
    <xf numFmtId="164" fontId="0" fillId="9" borderId="5" xfId="1" applyNumberFormat="1" applyFont="1" applyFill="1" applyBorder="1"/>
    <xf numFmtId="0" fontId="0" fillId="10" borderId="7" xfId="0" applyFill="1" applyBorder="1"/>
    <xf numFmtId="0" fontId="2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164" fontId="2" fillId="9" borderId="0" xfId="0" applyNumberFormat="1" applyFont="1" applyFill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5" fontId="0" fillId="2" borderId="0" xfId="1" applyNumberFormat="1" applyFont="1" applyFill="1" applyBorder="1" applyAlignment="1">
      <alignment horizontal="center"/>
    </xf>
    <xf numFmtId="165" fontId="0" fillId="2" borderId="5" xfId="1" applyNumberFormat="1" applyFont="1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165" fontId="0" fillId="7" borderId="7" xfId="0" applyNumberFormat="1" applyFill="1" applyBorder="1" applyAlignment="1">
      <alignment horizontal="center"/>
    </xf>
    <xf numFmtId="165" fontId="0" fillId="7" borderId="8" xfId="0" applyNumberFormat="1" applyFill="1" applyBorder="1" applyAlignment="1">
      <alignment horizontal="center"/>
    </xf>
    <xf numFmtId="0" fontId="6" fillId="11" borderId="12" xfId="0" applyFont="1" applyFill="1" applyBorder="1" applyAlignment="1">
      <alignment horizontal="center" vertical="center"/>
    </xf>
    <xf numFmtId="0" fontId="6" fillId="11" borderId="17" xfId="0" applyFont="1" applyFill="1" applyBorder="1" applyAlignment="1">
      <alignment horizontal="center" vertical="center"/>
    </xf>
    <xf numFmtId="0" fontId="6" fillId="11" borderId="16" xfId="0" applyFont="1" applyFill="1" applyBorder="1" applyAlignment="1">
      <alignment horizontal="center" vertical="center"/>
    </xf>
    <xf numFmtId="0" fontId="6" fillId="11" borderId="14" xfId="0" applyFont="1" applyFill="1" applyBorder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164" fontId="0" fillId="0" borderId="0" xfId="1" applyNumberFormat="1" applyFont="1" applyFill="1" applyAlignment="1">
      <alignment horizontal="center" vertical="center"/>
    </xf>
    <xf numFmtId="164" fontId="2" fillId="0" borderId="0" xfId="1" applyNumberFormat="1" applyFont="1" applyFill="1" applyAlignment="1">
      <alignment horizontal="center" vertical="center"/>
    </xf>
    <xf numFmtId="0" fontId="2" fillId="9" borderId="12" xfId="0" applyFont="1" applyFill="1" applyBorder="1" applyAlignment="1">
      <alignment horizontal="center" vertical="center"/>
    </xf>
    <xf numFmtId="164" fontId="2" fillId="9" borderId="12" xfId="0" applyNumberFormat="1" applyFont="1" applyFill="1" applyBorder="1" applyAlignment="1">
      <alignment horizontal="center" vertical="center"/>
    </xf>
    <xf numFmtId="164" fontId="2" fillId="3" borderId="0" xfId="1" applyNumberFormat="1" applyFont="1" applyFill="1" applyAlignment="1">
      <alignment horizontal="center"/>
    </xf>
    <xf numFmtId="0" fontId="2" fillId="3" borderId="0" xfId="0" applyFont="1" applyFill="1" applyAlignment="1">
      <alignment horizontal="right"/>
    </xf>
    <xf numFmtId="164" fontId="0" fillId="0" borderId="0" xfId="1" applyNumberFormat="1" applyFont="1" applyAlignment="1">
      <alignment horizontal="right"/>
    </xf>
    <xf numFmtId="2" fontId="0" fillId="0" borderId="0" xfId="0" applyNumberFormat="1" applyAlignment="1">
      <alignment horizontal="right"/>
    </xf>
    <xf numFmtId="43" fontId="0" fillId="0" borderId="0" xfId="1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43" fontId="0" fillId="5" borderId="7" xfId="0" applyNumberFormat="1" applyFill="1" applyBorder="1"/>
    <xf numFmtId="0" fontId="0" fillId="0" borderId="4" xfId="0" applyBorder="1" applyAlignment="1">
      <alignment wrapText="1"/>
    </xf>
    <xf numFmtId="9" fontId="2" fillId="0" borderId="5" xfId="2" applyFont="1" applyBorder="1" applyAlignment="1">
      <alignment horizontal="center" vertical="top"/>
    </xf>
    <xf numFmtId="164" fontId="0" fillId="5" borderId="0" xfId="0" applyNumberFormat="1" applyFill="1" applyAlignment="1">
      <alignment horizontal="center" vertical="center"/>
    </xf>
    <xf numFmtId="9" fontId="2" fillId="0" borderId="0" xfId="2" applyFont="1" applyBorder="1" applyAlignment="1">
      <alignment horizontal="center" vertical="top"/>
    </xf>
    <xf numFmtId="0" fontId="0" fillId="7" borderId="6" xfId="0" applyFill="1" applyBorder="1" applyAlignment="1">
      <alignment horizontal="center"/>
    </xf>
    <xf numFmtId="164" fontId="2" fillId="9" borderId="7" xfId="0" applyNumberFormat="1" applyFont="1" applyFill="1" applyBorder="1"/>
    <xf numFmtId="164" fontId="2" fillId="9" borderId="8" xfId="0" applyNumberFormat="1" applyFont="1" applyFill="1" applyBorder="1"/>
    <xf numFmtId="0" fontId="0" fillId="8" borderId="18" xfId="0" applyFill="1" applyBorder="1" applyAlignment="1">
      <alignment horizontal="center"/>
    </xf>
    <xf numFmtId="0" fontId="0" fillId="0" borderId="12" xfId="0" applyBorder="1" applyAlignment="1">
      <alignment horizontal="center"/>
    </xf>
    <xf numFmtId="165" fontId="0" fillId="2" borderId="12" xfId="1" applyNumberFormat="1" applyFont="1" applyFill="1" applyBorder="1" applyAlignment="1">
      <alignment horizontal="center"/>
    </xf>
    <xf numFmtId="165" fontId="0" fillId="2" borderId="19" xfId="1" applyNumberFormat="1" applyFont="1" applyFill="1" applyBorder="1" applyAlignment="1">
      <alignment horizontal="center"/>
    </xf>
    <xf numFmtId="0" fontId="0" fillId="0" borderId="18" xfId="0" applyBorder="1"/>
    <xf numFmtId="10" fontId="0" fillId="10" borderId="12" xfId="0" applyNumberFormat="1" applyFill="1" applyBorder="1"/>
    <xf numFmtId="0" fontId="0" fillId="0" borderId="12" xfId="0" applyBorder="1"/>
    <xf numFmtId="0" fontId="0" fillId="0" borderId="19" xfId="0" applyBorder="1"/>
    <xf numFmtId="0" fontId="0" fillId="9" borderId="6" xfId="0" applyFill="1" applyBorder="1"/>
    <xf numFmtId="0" fontId="0" fillId="9" borderId="7" xfId="0" applyFill="1" applyBorder="1"/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2" fillId="0" borderId="6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6" fillId="12" borderId="21" xfId="2" applyFont="1" applyFill="1" applyBorder="1"/>
    <xf numFmtId="0" fontId="6" fillId="12" borderId="20" xfId="0" applyFont="1" applyFill="1" applyBorder="1" applyAlignment="1">
      <alignment horizontal="center"/>
    </xf>
    <xf numFmtId="164" fontId="0" fillId="10" borderId="0" xfId="1" applyNumberFormat="1" applyFont="1" applyFill="1" applyAlignment="1">
      <alignment horizontal="center" vertical="center"/>
    </xf>
    <xf numFmtId="164" fontId="2" fillId="10" borderId="0" xfId="1" applyNumberFormat="1" applyFont="1" applyFill="1" applyAlignment="1">
      <alignment horizontal="center" vertical="center"/>
    </xf>
    <xf numFmtId="0" fontId="0" fillId="6" borderId="0" xfId="0" applyFill="1"/>
    <xf numFmtId="0" fontId="0" fillId="8" borderId="14" xfId="0" applyFill="1" applyBorder="1" applyAlignment="1">
      <alignment horizontal="center" vertical="center"/>
    </xf>
    <xf numFmtId="164" fontId="2" fillId="8" borderId="0" xfId="1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56</xdr:row>
      <xdr:rowOff>161925</xdr:rowOff>
    </xdr:from>
    <xdr:to>
      <xdr:col>6</xdr:col>
      <xdr:colOff>182157</xdr:colOff>
      <xdr:row>73</xdr:row>
      <xdr:rowOff>57587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C2EED0-1F41-3A33-539A-4D726C421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50" y="10163175"/>
          <a:ext cx="8468907" cy="313416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than Abraham" id="{8C838A4D-FE78-4575-B229-40542E86291A}" userId="S::ethan.abraham@deckers.com::ee0f2cf7-f370-4876-91cf-ea92214abc99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3" dT="2025-07-18T10:39:20.63" personId="{8C838A4D-FE78-4575-B229-40542E86291A}" id="{F671BB16-076B-4943-A8A4-9ACAC9E38749}">
    <text xml:space="preserve">When stock is unavailable on a retailer’s shelf (or website), customers either:
1) Buy another brand
2) Postpone the purchase
3) Shop elsewhere
By improving product availability, we’re capturing demand that would have otherwise been missed.
</text>
  </threadedComment>
  <threadedComment ref="A14" dT="2025-07-18T10:37:57.94" personId="{8C838A4D-FE78-4575-B229-40542E86291A}" id="{7D5BB873-FB12-4EF0-AF64-CD913D297BF8}">
    <text>Upside from margin increase due to reduction in close-out sales and converting these sales in to full price due to better allocation of stock (product that the customer wants)</text>
  </threadedComment>
  <threadedComment ref="A19" dT="2025-07-29T14:37:14.99" personId="{8C838A4D-FE78-4575-B229-40542E86291A}" id="{129D628A-38C1-4F93-80EE-4F53D9CEC6CF}">
    <text>12 month contract at $34,754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9" dT="2025-07-18T10:39:20.63" personId="{8C838A4D-FE78-4575-B229-40542E86291A}" id="{C18F68C9-E736-4312-9437-F133623C28CC}">
    <text xml:space="preserve">When stock is unavailable on a retailer’s shelf (or website), customers either:
1) Buy another brand
2) Postpone the purchase
3) Shop elsewhere
By improving product availability, you're simply capturing demand that would have otherwise been missed.
</text>
  </threadedComment>
  <threadedComment ref="B10" dT="2025-07-18T10:37:57.94" personId="{8C838A4D-FE78-4575-B229-40542E86291A}" id="{F6CF9CF5-9579-40F9-91AF-0BFA805CF5CE}">
    <text>Upside from margin increase due to reduction in close-out sales and converting these sales in to full price due to better allocation of stock (product that the customer wants)</text>
  </threadedComment>
  <threadedComment ref="B18" dT="2025-07-18T10:39:20.63" personId="{8C838A4D-FE78-4575-B229-40542E86291A}" id="{2153173B-C9DC-47CC-A2CF-B132B9FD7A5D}">
    <text xml:space="preserve">When stock is unavailable on a retailer’s shelf (or website), customers either:
1) Buy another brand
2) Postpone the purchase
3) Shop elsewhere
By improving product availability, you're simply capturing demand that would have otherwise been missed.
</text>
  </threadedComment>
  <threadedComment ref="B19" dT="2025-07-18T10:37:57.94" personId="{8C838A4D-FE78-4575-B229-40542E86291A}" id="{0B903C56-88D8-475B-86A7-98CD1F2B475F}">
    <text>Upside from margin increase due to reduction in close-out sales and converting these sales in to full price due to better allocation of stock (product that the customer wants)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3" dT="2025-07-18T10:39:20.63" personId="{8C838A4D-FE78-4575-B229-40542E86291A}" id="{0034DBBA-8837-4C8E-8F4D-FFBB5235698B}">
    <text xml:space="preserve">When stock is unavailable on a retailer’s shelf (or website), customers either:
1) Buy another brand
2) Postpone the purchase
3) Shop elsewhere
By improving product availability, you're simply capturing demand that would have otherwise been missed.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48E04-4C22-4F23-ACFF-75B9A7E40634}">
  <dimension ref="A1:R29"/>
  <sheetViews>
    <sheetView showGridLines="0" tabSelected="1" zoomScale="110" zoomScaleNormal="110" workbookViewId="0">
      <selection activeCell="I28" sqref="I28"/>
    </sheetView>
  </sheetViews>
  <sheetFormatPr defaultRowHeight="14.5" x14ac:dyDescent="0.35"/>
  <cols>
    <col min="1" max="1" width="44.453125" bestFit="1" customWidth="1"/>
    <col min="2" max="4" width="13.81640625" bestFit="1" customWidth="1"/>
    <col min="5" max="6" width="11.1796875" hidden="1" customWidth="1"/>
    <col min="7" max="7" width="13.81640625" bestFit="1" customWidth="1"/>
    <col min="8" max="8" width="5.26953125" customWidth="1"/>
    <col min="9" max="9" width="89.7265625" bestFit="1" customWidth="1"/>
    <col min="10" max="10" width="13.81640625" customWidth="1"/>
  </cols>
  <sheetData>
    <row r="1" spans="1:18" x14ac:dyDescent="0.35">
      <c r="I1" s="33" t="s">
        <v>0</v>
      </c>
    </row>
    <row r="2" spans="1:18" x14ac:dyDescent="0.35">
      <c r="A2" s="94" t="s">
        <v>1</v>
      </c>
      <c r="B2" s="94" t="s">
        <v>2</v>
      </c>
      <c r="C2" s="94" t="s">
        <v>3</v>
      </c>
      <c r="D2" s="94" t="s">
        <v>4</v>
      </c>
      <c r="E2" s="94" t="s">
        <v>5</v>
      </c>
      <c r="F2" s="94" t="s">
        <v>6</v>
      </c>
      <c r="G2" s="94" t="s">
        <v>7</v>
      </c>
      <c r="I2" s="98" t="s">
        <v>8</v>
      </c>
    </row>
    <row r="3" spans="1:18" x14ac:dyDescent="0.35">
      <c r="A3" s="57" t="s">
        <v>9</v>
      </c>
      <c r="B3" s="99">
        <f>('Benefit Assumption'!$C$1*0.0015)/2</f>
        <v>75941.110499999995</v>
      </c>
      <c r="C3" s="99">
        <f>'Benefit Assumption'!$C$1*0.0015</f>
        <v>151882.22099999999</v>
      </c>
      <c r="D3" s="99">
        <f>'Benefit Assumption'!$C$1*0.0015</f>
        <v>151882.22099999999</v>
      </c>
      <c r="E3" s="5"/>
      <c r="F3" s="5"/>
      <c r="G3" s="141">
        <f>SUM(B3:F3)</f>
        <v>379705.55249999999</v>
      </c>
      <c r="I3" t="s">
        <v>10</v>
      </c>
      <c r="P3" s="3"/>
      <c r="Q3" s="3"/>
      <c r="R3" s="3"/>
    </row>
    <row r="4" spans="1:18" x14ac:dyDescent="0.35">
      <c r="A4" s="58" t="s">
        <v>11</v>
      </c>
      <c r="B4" s="99">
        <f>Scenario!D3</f>
        <v>239940</v>
      </c>
      <c r="C4" s="99">
        <f>Scenario!D3</f>
        <v>239940</v>
      </c>
      <c r="D4" s="99">
        <f>C4</f>
        <v>239940</v>
      </c>
      <c r="E4" s="5"/>
      <c r="F4" s="5"/>
      <c r="G4" s="141">
        <f>SUM(B4:F4)</f>
        <v>719820</v>
      </c>
      <c r="I4" t="s">
        <v>12</v>
      </c>
      <c r="J4" t="s">
        <v>13</v>
      </c>
      <c r="P4" s="6"/>
    </row>
    <row r="5" spans="1:18" x14ac:dyDescent="0.35">
      <c r="A5" s="58" t="s">
        <v>14</v>
      </c>
      <c r="B5" s="99">
        <v>60000</v>
      </c>
      <c r="C5" s="99">
        <v>60000</v>
      </c>
      <c r="D5" s="99">
        <v>60000</v>
      </c>
      <c r="E5" s="5"/>
      <c r="F5" s="5"/>
      <c r="G5" s="141">
        <f>SUM(B5:F5)</f>
        <v>180000</v>
      </c>
      <c r="P5" s="6"/>
    </row>
    <row r="6" spans="1:18" x14ac:dyDescent="0.35">
      <c r="A6" s="59" t="s">
        <v>15</v>
      </c>
      <c r="B6" s="100">
        <f t="shared" ref="B6:G6" si="0">SUM(B3:B4)</f>
        <v>315881.11050000001</v>
      </c>
      <c r="C6" s="100">
        <f t="shared" si="0"/>
        <v>391822.22100000002</v>
      </c>
      <c r="D6" s="100">
        <f t="shared" si="0"/>
        <v>391822.22100000002</v>
      </c>
      <c r="E6" s="4">
        <f t="shared" si="0"/>
        <v>0</v>
      </c>
      <c r="F6" s="4">
        <f t="shared" si="0"/>
        <v>0</v>
      </c>
      <c r="G6" s="142">
        <f t="shared" si="0"/>
        <v>1099525.5525</v>
      </c>
    </row>
    <row r="7" spans="1:18" x14ac:dyDescent="0.35">
      <c r="A7" s="58" t="s">
        <v>16</v>
      </c>
      <c r="B7" s="99">
        <v>42500</v>
      </c>
      <c r="C7" s="99">
        <v>42500</v>
      </c>
      <c r="D7" s="99"/>
      <c r="E7" s="5"/>
      <c r="F7" s="5"/>
      <c r="G7" s="141">
        <f>SUM(B7:F7)</f>
        <v>85000</v>
      </c>
      <c r="I7" s="146" t="s">
        <v>17</v>
      </c>
      <c r="P7" s="3"/>
      <c r="Q7" s="3"/>
      <c r="R7" s="3"/>
    </row>
    <row r="8" spans="1:18" x14ac:dyDescent="0.35">
      <c r="A8" s="58" t="s">
        <v>18</v>
      </c>
      <c r="B8" s="99">
        <v>30000</v>
      </c>
      <c r="C8" s="99">
        <v>30000</v>
      </c>
      <c r="D8" s="99"/>
      <c r="E8" s="5"/>
      <c r="F8" s="5"/>
      <c r="G8" s="141">
        <f t="shared" ref="G8" si="1">SUM(B8:F8)</f>
        <v>60000</v>
      </c>
      <c r="I8" s="146"/>
      <c r="P8" s="6"/>
    </row>
    <row r="9" spans="1:18" x14ac:dyDescent="0.35">
      <c r="A9" s="59" t="s">
        <v>19</v>
      </c>
      <c r="B9" s="4">
        <f t="shared" ref="B9:G9" si="2">SUM(B7:B8)</f>
        <v>72500</v>
      </c>
      <c r="C9" s="4">
        <f t="shared" si="2"/>
        <v>72500</v>
      </c>
      <c r="D9" s="4">
        <f t="shared" si="2"/>
        <v>0</v>
      </c>
      <c r="E9" s="4">
        <f t="shared" si="2"/>
        <v>0</v>
      </c>
      <c r="F9" s="4">
        <f t="shared" si="2"/>
        <v>0</v>
      </c>
      <c r="G9" s="142">
        <f t="shared" si="2"/>
        <v>145000</v>
      </c>
    </row>
    <row r="10" spans="1:18" x14ac:dyDescent="0.35">
      <c r="A10" s="60" t="s">
        <v>20</v>
      </c>
      <c r="B10" s="85">
        <f>B9+B6</f>
        <v>388381.11050000001</v>
      </c>
      <c r="C10" s="85">
        <f>C9+C6</f>
        <v>464322.22100000002</v>
      </c>
      <c r="D10" s="85">
        <f>D9+D6</f>
        <v>391822.22100000002</v>
      </c>
      <c r="E10" s="85">
        <f>E9+E6+E19</f>
        <v>0</v>
      </c>
      <c r="F10" s="85">
        <f>F9+F6+F19</f>
        <v>0</v>
      </c>
      <c r="G10" s="85">
        <f>SUM(B10:D10)</f>
        <v>1244525.5525000002</v>
      </c>
    </row>
    <row r="11" spans="1:18" x14ac:dyDescent="0.35">
      <c r="A11" s="58"/>
      <c r="B11" s="2"/>
      <c r="C11" s="2"/>
      <c r="D11" s="2"/>
      <c r="E11" s="2"/>
      <c r="F11" s="2"/>
      <c r="G11" s="2"/>
    </row>
    <row r="12" spans="1:18" x14ac:dyDescent="0.35">
      <c r="A12" s="95" t="s">
        <v>21</v>
      </c>
      <c r="B12" s="94" t="s">
        <v>2</v>
      </c>
      <c r="C12" s="94" t="s">
        <v>3</v>
      </c>
      <c r="D12" s="94" t="s">
        <v>4</v>
      </c>
      <c r="E12" s="94" t="s">
        <v>5</v>
      </c>
      <c r="F12" s="94" t="s">
        <v>6</v>
      </c>
      <c r="G12" s="94" t="s">
        <v>7</v>
      </c>
      <c r="I12" t="s">
        <v>22</v>
      </c>
    </row>
    <row r="13" spans="1:18" x14ac:dyDescent="0.35">
      <c r="A13" s="58" t="s">
        <v>23</v>
      </c>
      <c r="B13" s="99" cm="1">
        <f t="array" ref="B13:B17">Scenario!C18:C22</f>
        <v>485913.08685149997</v>
      </c>
      <c r="C13" s="99" cm="1">
        <f t="array" ref="C13:C17">Scenario!D18:D22</f>
        <v>2591536.4632080002</v>
      </c>
      <c r="D13" s="99" cm="1">
        <f t="array" ref="D13:D17">Scenario!E18:E22</f>
        <v>3239420.57901</v>
      </c>
      <c r="E13" s="49"/>
      <c r="F13" s="49"/>
      <c r="G13" s="141">
        <f t="shared" ref="G13:G17" si="3">SUM(B13:F13)</f>
        <v>6316870.1290694997</v>
      </c>
    </row>
    <row r="14" spans="1:18" x14ac:dyDescent="0.35">
      <c r="A14" s="58" t="s">
        <v>24</v>
      </c>
      <c r="B14" s="99">
        <v>27338.799779999998</v>
      </c>
      <c r="C14" s="99">
        <v>145806.93216</v>
      </c>
      <c r="D14" s="99">
        <v>182258.66519999999</v>
      </c>
      <c r="E14" s="49"/>
      <c r="F14" s="49"/>
      <c r="G14" s="141">
        <f t="shared" si="3"/>
        <v>355404.39714000002</v>
      </c>
    </row>
    <row r="15" spans="1:18" x14ac:dyDescent="0.35">
      <c r="A15" s="58" t="s">
        <v>25</v>
      </c>
      <c r="B15" s="99">
        <v>34329.543102739728</v>
      </c>
      <c r="C15" s="99">
        <v>183090.89654794522</v>
      </c>
      <c r="D15" s="99">
        <v>228863.62068493152</v>
      </c>
      <c r="E15" s="49"/>
      <c r="F15" s="49"/>
      <c r="G15" s="141">
        <f t="shared" si="3"/>
        <v>446284.06033561646</v>
      </c>
    </row>
    <row r="16" spans="1:18" x14ac:dyDescent="0.35">
      <c r="A16" s="58" t="s">
        <v>26</v>
      </c>
      <c r="B16" s="99">
        <v>0</v>
      </c>
      <c r="C16" s="99">
        <v>50000</v>
      </c>
      <c r="D16" s="99">
        <v>100000</v>
      </c>
      <c r="E16" s="49"/>
      <c r="F16" s="49"/>
      <c r="G16" s="141">
        <f t="shared" si="3"/>
        <v>150000</v>
      </c>
    </row>
    <row r="17" spans="1:9" x14ac:dyDescent="0.35">
      <c r="A17" s="58" t="s">
        <v>27</v>
      </c>
      <c r="B17" s="99">
        <v>0</v>
      </c>
      <c r="C17" s="99">
        <v>201700</v>
      </c>
      <c r="D17" s="99">
        <v>252125</v>
      </c>
      <c r="E17" s="49"/>
      <c r="F17" s="49"/>
      <c r="G17" s="141">
        <f t="shared" si="3"/>
        <v>453825</v>
      </c>
    </row>
    <row r="18" spans="1:9" x14ac:dyDescent="0.35">
      <c r="A18" s="61" t="s">
        <v>28</v>
      </c>
      <c r="B18" s="56">
        <f>SUM(B13:B17)</f>
        <v>547581.4297342397</v>
      </c>
      <c r="C18" s="56">
        <f t="shared" ref="C18:G18" si="4">SUM(C13:C17)</f>
        <v>3172134.2919159452</v>
      </c>
      <c r="D18" s="56">
        <f t="shared" si="4"/>
        <v>4002667.8648949317</v>
      </c>
      <c r="E18" s="55">
        <f t="shared" si="4"/>
        <v>0</v>
      </c>
      <c r="F18" s="55">
        <f t="shared" si="4"/>
        <v>0</v>
      </c>
      <c r="G18" s="56">
        <f t="shared" si="4"/>
        <v>7722383.5865451163</v>
      </c>
    </row>
    <row r="19" spans="1:9" x14ac:dyDescent="0.35">
      <c r="A19" s="144" t="s">
        <v>29</v>
      </c>
      <c r="B19" s="145">
        <v>417048</v>
      </c>
      <c r="C19" s="145">
        <f>B19</f>
        <v>417048</v>
      </c>
      <c r="D19" s="145">
        <f>C19</f>
        <v>417048</v>
      </c>
      <c r="E19" s="145"/>
      <c r="F19" s="145"/>
      <c r="G19" s="145">
        <f>SUM(B19:D19)</f>
        <v>1251144</v>
      </c>
      <c r="I19" s="143" t="s">
        <v>30</v>
      </c>
    </row>
    <row r="20" spans="1:9" x14ac:dyDescent="0.35">
      <c r="A20" s="58"/>
      <c r="B20" s="2"/>
      <c r="C20" s="2"/>
      <c r="D20" s="2"/>
      <c r="E20" s="2"/>
      <c r="F20" s="2"/>
      <c r="G20" s="4"/>
    </row>
    <row r="21" spans="1:9" x14ac:dyDescent="0.35">
      <c r="A21" s="97" t="s">
        <v>31</v>
      </c>
      <c r="B21" s="98" t="s">
        <v>2</v>
      </c>
      <c r="C21" s="98" t="s">
        <v>3</v>
      </c>
      <c r="D21" s="98" t="s">
        <v>4</v>
      </c>
      <c r="E21" s="98" t="s">
        <v>5</v>
      </c>
      <c r="F21" s="98" t="s">
        <v>6</v>
      </c>
      <c r="G21" s="98" t="s">
        <v>7</v>
      </c>
    </row>
    <row r="22" spans="1:9" x14ac:dyDescent="0.35">
      <c r="A22" s="58" t="s">
        <v>32</v>
      </c>
      <c r="B22" s="2"/>
      <c r="C22" s="2"/>
      <c r="D22" s="2"/>
      <c r="E22" s="2"/>
      <c r="F22" s="2"/>
      <c r="G22" s="2"/>
    </row>
    <row r="23" spans="1:9" x14ac:dyDescent="0.35">
      <c r="A23" s="58" t="s">
        <v>33</v>
      </c>
      <c r="B23" s="2"/>
      <c r="C23" s="2"/>
      <c r="D23" s="2"/>
      <c r="E23" s="2"/>
      <c r="F23" s="2"/>
      <c r="G23" s="2"/>
    </row>
    <row r="24" spans="1:9" x14ac:dyDescent="0.35">
      <c r="A24" s="86" t="s">
        <v>34</v>
      </c>
      <c r="B24" s="2"/>
      <c r="C24" s="2"/>
      <c r="D24" s="2"/>
      <c r="E24" s="2"/>
      <c r="F24" s="2"/>
      <c r="G24" s="2"/>
    </row>
    <row r="25" spans="1:9" x14ac:dyDescent="0.35">
      <c r="A25" s="58" t="s">
        <v>35</v>
      </c>
      <c r="B25" s="2"/>
      <c r="C25" s="2"/>
      <c r="D25" s="2"/>
      <c r="E25" s="2"/>
      <c r="F25" s="2"/>
      <c r="G25" s="2"/>
    </row>
    <row r="26" spans="1:9" x14ac:dyDescent="0.35">
      <c r="A26" s="58"/>
      <c r="B26" s="2"/>
      <c r="C26" s="2"/>
      <c r="D26" s="2"/>
      <c r="E26" s="2"/>
      <c r="F26" s="2"/>
      <c r="G26" s="2"/>
    </row>
    <row r="27" spans="1:9" x14ac:dyDescent="0.35">
      <c r="A27" s="96" t="s">
        <v>36</v>
      </c>
      <c r="B27" s="96" t="s">
        <v>2</v>
      </c>
      <c r="C27" s="96" t="s">
        <v>3</v>
      </c>
      <c r="D27" s="96" t="s">
        <v>4</v>
      </c>
      <c r="E27" s="96" t="s">
        <v>5</v>
      </c>
      <c r="F27" s="96" t="s">
        <v>6</v>
      </c>
      <c r="G27" s="96" t="s">
        <v>7</v>
      </c>
    </row>
    <row r="28" spans="1:9" ht="15" thickBot="1" x14ac:dyDescent="0.4">
      <c r="A28" s="101"/>
      <c r="B28" s="102">
        <f>B18-B10+B19</f>
        <v>576248.31923423964</v>
      </c>
      <c r="C28" s="102">
        <f>C18-C10+C19</f>
        <v>3124860.0709159453</v>
      </c>
      <c r="D28" s="102">
        <f>D18-D10+D19</f>
        <v>4027893.6438949318</v>
      </c>
      <c r="E28" s="102">
        <f t="shared" ref="E28:G28" si="5">E18-E10+E19</f>
        <v>0</v>
      </c>
      <c r="F28" s="102">
        <f t="shared" si="5"/>
        <v>0</v>
      </c>
      <c r="G28" s="102">
        <f t="shared" si="5"/>
        <v>7729002.034045116</v>
      </c>
    </row>
    <row r="29" spans="1:9" ht="15" thickBot="1" x14ac:dyDescent="0.4">
      <c r="A29" s="140" t="s">
        <v>37</v>
      </c>
      <c r="B29" s="139">
        <f>B28/B10</f>
        <v>1.4837187073603562</v>
      </c>
      <c r="C29" s="139">
        <f>C28/C10</f>
        <v>6.7299386710074023</v>
      </c>
      <c r="D29" s="139">
        <f>D28/D10</f>
        <v>10.279901006163026</v>
      </c>
      <c r="E29" s="139" t="e">
        <f t="shared" ref="E29:F29" si="6">E28/E10</f>
        <v>#DIV/0!</v>
      </c>
      <c r="F29" s="139" t="e">
        <f t="shared" si="6"/>
        <v>#DIV/0!</v>
      </c>
      <c r="G29" s="139">
        <f>G28/G10</f>
        <v>6.2104004361494338</v>
      </c>
    </row>
  </sheetData>
  <mergeCells count="1">
    <mergeCell ref="I7:I8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2CA96-4D98-4B3A-BFC0-D9B5050561C7}">
  <dimension ref="A1:P30"/>
  <sheetViews>
    <sheetView showGridLines="0" zoomScale="120" zoomScaleNormal="120" workbookViewId="0">
      <selection activeCell="B18" sqref="B18"/>
    </sheetView>
  </sheetViews>
  <sheetFormatPr defaultRowHeight="14.5" x14ac:dyDescent="0.35"/>
  <cols>
    <col min="1" max="1" width="5.453125" bestFit="1" customWidth="1"/>
    <col min="2" max="2" width="41.1796875" bestFit="1" customWidth="1"/>
    <col min="3" max="3" width="14.26953125" bestFit="1" customWidth="1"/>
    <col min="4" max="4" width="11.54296875" bestFit="1" customWidth="1"/>
    <col min="5" max="5" width="12.54296875" bestFit="1" customWidth="1"/>
    <col min="6" max="6" width="14.54296875" customWidth="1"/>
    <col min="7" max="7" width="21.81640625" customWidth="1"/>
    <col min="8" max="8" width="18.7265625" customWidth="1"/>
    <col min="9" max="9" width="5.453125" bestFit="1" customWidth="1"/>
    <col min="10" max="10" width="70.7265625" bestFit="1" customWidth="1"/>
    <col min="11" max="11" width="16.7265625" bestFit="1" customWidth="1"/>
    <col min="12" max="12" width="14" bestFit="1" customWidth="1"/>
    <col min="13" max="13" width="13.26953125" bestFit="1" customWidth="1"/>
    <col min="14" max="14" width="12.1796875" bestFit="1" customWidth="1"/>
    <col min="15" max="15" width="11.54296875" bestFit="1" customWidth="1"/>
  </cols>
  <sheetData>
    <row r="1" spans="1:16" ht="15" thickBot="1" x14ac:dyDescent="0.4">
      <c r="A1" s="148" t="s">
        <v>38</v>
      </c>
      <c r="B1" s="148"/>
      <c r="C1" s="148"/>
      <c r="D1" s="148"/>
      <c r="E1" s="148"/>
      <c r="G1" s="147" t="s">
        <v>39</v>
      </c>
      <c r="H1" s="147"/>
      <c r="I1" s="147"/>
      <c r="J1" s="147"/>
    </row>
    <row r="2" spans="1:16" x14ac:dyDescent="0.35">
      <c r="A2" s="51" t="s">
        <v>40</v>
      </c>
      <c r="B2" s="87" t="s">
        <v>41</v>
      </c>
      <c r="C2" s="87" t="s">
        <v>42</v>
      </c>
      <c r="D2" s="87" t="s">
        <v>43</v>
      </c>
      <c r="E2" s="88" t="s">
        <v>44</v>
      </c>
      <c r="G2" s="128" t="s">
        <v>45</v>
      </c>
      <c r="H2" s="129" t="s">
        <v>46</v>
      </c>
      <c r="I2" s="129"/>
      <c r="J2" s="130" t="s">
        <v>47</v>
      </c>
    </row>
    <row r="3" spans="1:16" x14ac:dyDescent="0.35">
      <c r="A3" s="50">
        <v>1</v>
      </c>
      <c r="B3" s="84" t="s">
        <v>48</v>
      </c>
      <c r="C3" s="89">
        <f>'Cost Assumptions'!E4</f>
        <v>419895</v>
      </c>
      <c r="D3" s="89">
        <f>'Cost Assumptions'!F4</f>
        <v>239940</v>
      </c>
      <c r="E3" s="90">
        <f>'Cost Assumptions'!G4</f>
        <v>59985</v>
      </c>
      <c r="G3" s="131" t="s">
        <v>49</v>
      </c>
      <c r="H3" s="132" t="s">
        <v>50</v>
      </c>
      <c r="J3" s="133" t="s">
        <v>51</v>
      </c>
    </row>
    <row r="4" spans="1:16" x14ac:dyDescent="0.35">
      <c r="A4" s="118">
        <v>2</v>
      </c>
      <c r="B4" s="119" t="s">
        <v>52</v>
      </c>
      <c r="C4" s="120">
        <f>'Cost Assumptions'!E6</f>
        <v>151882.22099999999</v>
      </c>
      <c r="D4" s="120">
        <f>'Cost Assumptions'!F6</f>
        <v>151882.22099999999</v>
      </c>
      <c r="E4" s="121">
        <f>'Cost Assumptions'!G6</f>
        <v>151882.22099999999</v>
      </c>
      <c r="G4" s="131" t="s">
        <v>53</v>
      </c>
      <c r="H4" s="132" t="s">
        <v>54</v>
      </c>
      <c r="I4" s="132"/>
      <c r="J4" s="133" t="s">
        <v>55</v>
      </c>
    </row>
    <row r="5" spans="1:16" ht="15" thickBot="1" x14ac:dyDescent="0.4">
      <c r="A5" s="115" t="s">
        <v>28</v>
      </c>
      <c r="B5" s="91"/>
      <c r="C5" s="92">
        <f>SUM(C3:C4)</f>
        <v>571777.22100000002</v>
      </c>
      <c r="D5" s="92">
        <f t="shared" ref="D5:E5" si="0">SUM(D3:D4)</f>
        <v>391822.22100000002</v>
      </c>
      <c r="E5" s="93">
        <f t="shared" si="0"/>
        <v>211867.22099999999</v>
      </c>
      <c r="G5" s="131" t="s">
        <v>56</v>
      </c>
      <c r="H5" s="132" t="s">
        <v>57</v>
      </c>
      <c r="I5" s="132">
        <v>0.25</v>
      </c>
      <c r="J5" s="133" t="s">
        <v>58</v>
      </c>
    </row>
    <row r="6" spans="1:16" ht="15" thickBot="1" x14ac:dyDescent="0.4">
      <c r="G6" s="134" t="s">
        <v>59</v>
      </c>
      <c r="H6" s="135" t="s">
        <v>60</v>
      </c>
      <c r="I6" s="135"/>
      <c r="J6" s="136" t="s">
        <v>61</v>
      </c>
    </row>
    <row r="7" spans="1:16" ht="15" thickBot="1" x14ac:dyDescent="0.4">
      <c r="A7" s="147" t="s">
        <v>62</v>
      </c>
      <c r="B7" s="147"/>
      <c r="C7" s="147"/>
      <c r="D7" s="147"/>
      <c r="E7" s="147"/>
    </row>
    <row r="8" spans="1:16" x14ac:dyDescent="0.35">
      <c r="A8" s="51" t="s">
        <v>40</v>
      </c>
      <c r="B8" s="87" t="s">
        <v>41</v>
      </c>
      <c r="C8" s="87" t="s">
        <v>42</v>
      </c>
      <c r="D8" s="87" t="s">
        <v>43</v>
      </c>
      <c r="E8" s="88" t="s">
        <v>44</v>
      </c>
      <c r="G8" s="128" t="s">
        <v>63</v>
      </c>
      <c r="H8" s="129" t="s">
        <v>64</v>
      </c>
      <c r="I8" s="129"/>
      <c r="J8" s="130" t="s">
        <v>65</v>
      </c>
    </row>
    <row r="9" spans="1:16" x14ac:dyDescent="0.35">
      <c r="A9" s="50">
        <v>1</v>
      </c>
      <c r="B9" s="84" t="s">
        <v>66</v>
      </c>
      <c r="C9" s="89">
        <f>'Benefit Assumption'!E11</f>
        <v>1339688.1736699999</v>
      </c>
      <c r="D9" s="89">
        <f>'Benefit Assumption'!F11</f>
        <v>3239420.57901</v>
      </c>
      <c r="E9" s="90">
        <f>'Benefit Assumption'!G11</f>
        <v>6698440.8683500001</v>
      </c>
      <c r="G9" s="131" t="s">
        <v>67</v>
      </c>
      <c r="H9" s="137">
        <v>0</v>
      </c>
      <c r="I9" s="137"/>
      <c r="J9" s="133" t="s">
        <v>68</v>
      </c>
      <c r="P9" s="37"/>
    </row>
    <row r="10" spans="1:16" x14ac:dyDescent="0.35">
      <c r="A10" s="50">
        <v>2</v>
      </c>
      <c r="B10" s="84" t="s">
        <v>24</v>
      </c>
      <c r="C10" s="89">
        <f>'Benefit Assumption'!$F$14</f>
        <v>91129.332599999994</v>
      </c>
      <c r="D10" s="89">
        <f>'Benefit Assumption'!$G$14</f>
        <v>182258.66519999999</v>
      </c>
      <c r="E10" s="90">
        <f>'Benefit Assumption'!$H$14</f>
        <v>273387.99779999995</v>
      </c>
      <c r="G10" s="131" t="s">
        <v>2</v>
      </c>
      <c r="H10" s="2" t="s">
        <v>69</v>
      </c>
      <c r="I10" s="2">
        <v>0.6</v>
      </c>
      <c r="J10" s="133" t="s">
        <v>70</v>
      </c>
    </row>
    <row r="11" spans="1:16" x14ac:dyDescent="0.35">
      <c r="A11" s="50">
        <v>3</v>
      </c>
      <c r="B11" s="84" t="s">
        <v>25</v>
      </c>
      <c r="C11" s="89">
        <f>'Benefit Assumption'!F32</f>
        <v>91545.448273972608</v>
      </c>
      <c r="D11" s="89">
        <f>'Benefit Assumption'!G32</f>
        <v>228863.62068493152</v>
      </c>
      <c r="E11" s="90">
        <f>'Benefit Assumption'!H32</f>
        <v>343295.43102739728</v>
      </c>
      <c r="G11" s="131" t="s">
        <v>3</v>
      </c>
      <c r="H11" s="2" t="s">
        <v>71</v>
      </c>
      <c r="I11" s="2">
        <v>0.8</v>
      </c>
      <c r="J11" s="133" t="s">
        <v>72</v>
      </c>
    </row>
    <row r="12" spans="1:16" ht="15" thickBot="1" x14ac:dyDescent="0.4">
      <c r="A12" s="50">
        <v>4</v>
      </c>
      <c r="B12" s="84" t="s">
        <v>73</v>
      </c>
      <c r="C12" s="89">
        <v>0</v>
      </c>
      <c r="D12" s="89">
        <v>50000</v>
      </c>
      <c r="E12" s="90">
        <v>100000</v>
      </c>
      <c r="G12" s="134" t="s">
        <v>74</v>
      </c>
      <c r="H12" s="138" t="s">
        <v>75</v>
      </c>
      <c r="I12" s="138"/>
      <c r="J12" s="136" t="s">
        <v>76</v>
      </c>
    </row>
    <row r="13" spans="1:16" x14ac:dyDescent="0.35">
      <c r="A13" s="118">
        <v>5</v>
      </c>
      <c r="B13" s="119" t="s">
        <v>27</v>
      </c>
      <c r="C13" s="120">
        <f>'Benefit Assumption'!F41</f>
        <v>100850</v>
      </c>
      <c r="D13" s="120">
        <f>'Benefit Assumption'!G41</f>
        <v>252125</v>
      </c>
      <c r="E13" s="121">
        <f>'Benefit Assumption'!H41</f>
        <v>504250</v>
      </c>
    </row>
    <row r="14" spans="1:16" ht="15" thickBot="1" x14ac:dyDescent="0.4">
      <c r="A14" s="115" t="s">
        <v>28</v>
      </c>
      <c r="B14" s="91"/>
      <c r="C14" s="92">
        <f>SUM(C9:C13)</f>
        <v>1623212.9545439726</v>
      </c>
      <c r="D14" s="92">
        <f>SUM(D9:D13)</f>
        <v>3952667.8648949317</v>
      </c>
      <c r="E14" s="93">
        <f>SUM(E9:E13)</f>
        <v>7919374.2971773976</v>
      </c>
    </row>
    <row r="15" spans="1:16" x14ac:dyDescent="0.35">
      <c r="A15" s="84"/>
      <c r="B15" s="84"/>
      <c r="C15" s="84"/>
      <c r="D15" s="84"/>
      <c r="E15" s="84"/>
    </row>
    <row r="16" spans="1:16" ht="15" thickBot="1" x14ac:dyDescent="0.4">
      <c r="A16" s="147" t="s">
        <v>77</v>
      </c>
      <c r="B16" s="147"/>
      <c r="C16" s="147"/>
      <c r="D16" s="147"/>
      <c r="E16" s="147"/>
    </row>
    <row r="17" spans="1:11" x14ac:dyDescent="0.35">
      <c r="A17" s="51" t="s">
        <v>40</v>
      </c>
      <c r="B17" s="87" t="s">
        <v>78</v>
      </c>
      <c r="C17" s="87" t="s">
        <v>2</v>
      </c>
      <c r="D17" s="87" t="s">
        <v>3</v>
      </c>
      <c r="E17" s="88" t="s">
        <v>4</v>
      </c>
    </row>
    <row r="18" spans="1:11" x14ac:dyDescent="0.35">
      <c r="A18" s="50">
        <v>1</v>
      </c>
      <c r="B18" s="84" t="s">
        <v>66</v>
      </c>
      <c r="C18" s="89">
        <f>(D9*$I$5)*$I$10</f>
        <v>485913.08685149997</v>
      </c>
      <c r="D18" s="89">
        <f>D9*$I$11</f>
        <v>2591536.4632080002</v>
      </c>
      <c r="E18" s="90">
        <f>D9</f>
        <v>3239420.57901</v>
      </c>
    </row>
    <row r="19" spans="1:11" x14ac:dyDescent="0.35">
      <c r="A19" s="50">
        <v>2</v>
      </c>
      <c r="B19" s="84" t="s">
        <v>24</v>
      </c>
      <c r="C19" s="89">
        <f>(D10*$I$5)*$I$10</f>
        <v>27338.799779999998</v>
      </c>
      <c r="D19" s="89">
        <f>D10*$I$11</f>
        <v>145806.93216</v>
      </c>
      <c r="E19" s="90">
        <f>D10</f>
        <v>182258.66519999999</v>
      </c>
    </row>
    <row r="20" spans="1:11" x14ac:dyDescent="0.35">
      <c r="A20" s="50">
        <v>3</v>
      </c>
      <c r="B20" s="84" t="s">
        <v>25</v>
      </c>
      <c r="C20" s="89">
        <f>(D11*$I$5)*$I$10</f>
        <v>34329.543102739728</v>
      </c>
      <c r="D20" s="89">
        <f>D11*$I$11</f>
        <v>183090.89654794522</v>
      </c>
      <c r="E20" s="90">
        <f>D11</f>
        <v>228863.62068493152</v>
      </c>
    </row>
    <row r="21" spans="1:11" x14ac:dyDescent="0.35">
      <c r="A21" s="50">
        <v>4</v>
      </c>
      <c r="B21" s="84" t="s">
        <v>73</v>
      </c>
      <c r="C21" s="89">
        <v>0</v>
      </c>
      <c r="D21" s="89">
        <v>50000</v>
      </c>
      <c r="E21" s="90">
        <f>D21*2</f>
        <v>100000</v>
      </c>
    </row>
    <row r="22" spans="1:11" x14ac:dyDescent="0.35">
      <c r="A22" s="118">
        <v>5</v>
      </c>
      <c r="B22" s="119" t="s">
        <v>27</v>
      </c>
      <c r="C22" s="120">
        <v>0</v>
      </c>
      <c r="D22" s="120">
        <f>D13*$I$11</f>
        <v>201700</v>
      </c>
      <c r="E22" s="121">
        <f>D13</f>
        <v>252125</v>
      </c>
    </row>
    <row r="23" spans="1:11" ht="15" thickBot="1" x14ac:dyDescent="0.4">
      <c r="A23" s="91" t="s">
        <v>28</v>
      </c>
      <c r="B23" s="91"/>
      <c r="C23" s="92">
        <f>SUM(C18:C22)</f>
        <v>547581.4297342397</v>
      </c>
      <c r="D23" s="92">
        <f>SUM(D18:D22)</f>
        <v>3172134.2919159452</v>
      </c>
      <c r="E23" s="93">
        <f>SUM(E18:E22)</f>
        <v>4002667.8648949317</v>
      </c>
    </row>
    <row r="27" spans="1:11" x14ac:dyDescent="0.35">
      <c r="K27" s="14"/>
    </row>
    <row r="28" spans="1:11" x14ac:dyDescent="0.35">
      <c r="B28" s="1"/>
      <c r="H28" s="37"/>
      <c r="I28" s="37"/>
      <c r="K28" s="39"/>
    </row>
    <row r="29" spans="1:11" x14ac:dyDescent="0.35">
      <c r="G29" s="1"/>
      <c r="H29" s="14"/>
      <c r="I29" s="14"/>
      <c r="K29" s="14"/>
    </row>
    <row r="30" spans="1:11" x14ac:dyDescent="0.35">
      <c r="G30" s="1"/>
      <c r="H30" s="38"/>
      <c r="I30" s="38"/>
      <c r="K30" s="14"/>
    </row>
  </sheetData>
  <mergeCells count="4">
    <mergeCell ref="A16:E16"/>
    <mergeCell ref="A7:E7"/>
    <mergeCell ref="A1:E1"/>
    <mergeCell ref="G1:J1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69B81-A196-41AD-B0D2-DF6B69464600}">
  <dimension ref="A1:M42"/>
  <sheetViews>
    <sheetView showGridLines="0" zoomScaleNormal="100" workbookViewId="0">
      <selection activeCell="J17" sqref="J17"/>
    </sheetView>
  </sheetViews>
  <sheetFormatPr defaultRowHeight="14.5" x14ac:dyDescent="0.35"/>
  <cols>
    <col min="1" max="1" width="4.453125" customWidth="1"/>
    <col min="2" max="2" width="60.26953125" customWidth="1"/>
    <col min="3" max="3" width="13.453125" bestFit="1" customWidth="1"/>
    <col min="4" max="4" width="28.1796875" bestFit="1" customWidth="1"/>
    <col min="5" max="5" width="12.7265625" bestFit="1" customWidth="1"/>
    <col min="6" max="7" width="11.26953125" bestFit="1" customWidth="1"/>
    <col min="8" max="8" width="12.26953125" bestFit="1" customWidth="1"/>
    <col min="10" max="10" width="36.1796875" bestFit="1" customWidth="1"/>
  </cols>
  <sheetData>
    <row r="1" spans="1:11" x14ac:dyDescent="0.35">
      <c r="A1" s="1"/>
      <c r="B1" s="1" t="s">
        <v>79</v>
      </c>
      <c r="C1" s="72">
        <f>'Wholesale FY25'!C62</f>
        <v>101254814</v>
      </c>
    </row>
    <row r="2" spans="1:11" ht="15" thickBot="1" x14ac:dyDescent="0.4"/>
    <row r="3" spans="1:11" x14ac:dyDescent="0.35">
      <c r="A3" s="1">
        <v>1</v>
      </c>
      <c r="B3" s="67" t="s">
        <v>66</v>
      </c>
      <c r="C3" s="52" t="s">
        <v>80</v>
      </c>
      <c r="D3" s="52"/>
      <c r="E3" s="68">
        <v>0.1</v>
      </c>
      <c r="F3" s="68">
        <v>0.2</v>
      </c>
      <c r="G3" s="68">
        <v>0.5</v>
      </c>
      <c r="H3" s="69">
        <v>0.7</v>
      </c>
      <c r="I3" s="1">
        <v>1</v>
      </c>
      <c r="J3" s="1" t="s">
        <v>81</v>
      </c>
    </row>
    <row r="4" spans="1:11" x14ac:dyDescent="0.35">
      <c r="A4" s="1"/>
      <c r="B4" s="12" t="s">
        <v>82</v>
      </c>
      <c r="C4" s="62">
        <f>'Wholesale FY25'!D62</f>
        <v>1618190</v>
      </c>
      <c r="D4" t="s">
        <v>83</v>
      </c>
      <c r="E4" s="19">
        <f>$C$7*E3</f>
        <v>19418.28</v>
      </c>
      <c r="F4" s="19">
        <f>$C$7*F3</f>
        <v>38836.559999999998</v>
      </c>
      <c r="G4" s="19">
        <f>$C$7*G3</f>
        <v>97091.4</v>
      </c>
      <c r="H4" s="23">
        <f>$C$7*H3</f>
        <v>135927.96</v>
      </c>
      <c r="J4" s="32" t="s">
        <v>84</v>
      </c>
      <c r="K4" t="s">
        <v>85</v>
      </c>
    </row>
    <row r="5" spans="1:11" x14ac:dyDescent="0.35">
      <c r="A5" s="1"/>
      <c r="B5" s="12" t="s">
        <v>86</v>
      </c>
      <c r="C5" s="63">
        <v>73</v>
      </c>
      <c r="D5" t="s">
        <v>87</v>
      </c>
      <c r="E5" s="19">
        <f>$C$5*E4</f>
        <v>1417534.44</v>
      </c>
      <c r="F5" s="19">
        <f>$C$5*F4</f>
        <v>2835068.88</v>
      </c>
      <c r="G5" s="19">
        <f>$C$5*G4</f>
        <v>7087672.1999999993</v>
      </c>
      <c r="H5" s="23">
        <f>$C$5*H4</f>
        <v>9922741.0800000001</v>
      </c>
      <c r="K5" t="s">
        <v>88</v>
      </c>
    </row>
    <row r="6" spans="1:11" x14ac:dyDescent="0.35">
      <c r="A6" s="1"/>
      <c r="B6" s="12" t="s">
        <v>89</v>
      </c>
      <c r="C6" s="64">
        <v>0.12</v>
      </c>
      <c r="E6" s="43">
        <v>0.01</v>
      </c>
      <c r="F6" s="43">
        <v>0.03</v>
      </c>
      <c r="G6" s="43">
        <v>0.05</v>
      </c>
      <c r="H6" s="47">
        <v>0.1</v>
      </c>
      <c r="K6" t="s">
        <v>90</v>
      </c>
    </row>
    <row r="7" spans="1:11" x14ac:dyDescent="0.35">
      <c r="A7" s="1"/>
      <c r="B7" s="12" t="s">
        <v>91</v>
      </c>
      <c r="C7" s="65">
        <f>C4*C6</f>
        <v>194182.8</v>
      </c>
      <c r="D7" t="s">
        <v>92</v>
      </c>
      <c r="E7" s="19">
        <f>$C$9*E6</f>
        <v>13948.7978</v>
      </c>
      <c r="F7" s="19">
        <f>$C$9*F6</f>
        <v>41846.393400000001</v>
      </c>
      <c r="G7" s="19">
        <f>$C$9*G6</f>
        <v>69743.989000000001</v>
      </c>
      <c r="H7" s="23">
        <f>$C$9*H6</f>
        <v>139487.978</v>
      </c>
      <c r="K7" t="s">
        <v>93</v>
      </c>
    </row>
    <row r="8" spans="1:11" x14ac:dyDescent="0.35">
      <c r="A8" s="1"/>
      <c r="B8" s="12" t="s">
        <v>94</v>
      </c>
      <c r="C8" s="64">
        <v>0.86199999999999999</v>
      </c>
      <c r="D8" t="s">
        <v>95</v>
      </c>
      <c r="E8" s="19">
        <f>$C$5*E7</f>
        <v>1018262.2394000001</v>
      </c>
      <c r="F8" s="19">
        <f>$C$5*F7</f>
        <v>3054786.7182</v>
      </c>
      <c r="G8" s="19">
        <f>$C$5*G7</f>
        <v>5091311.1969999997</v>
      </c>
      <c r="H8" s="23">
        <f>$C$5*H7</f>
        <v>10182622.393999999</v>
      </c>
    </row>
    <row r="9" spans="1:11" x14ac:dyDescent="0.35">
      <c r="A9" s="1"/>
      <c r="B9" s="12" t="s">
        <v>96</v>
      </c>
      <c r="C9" s="65">
        <f>C8*C4</f>
        <v>1394879.78</v>
      </c>
      <c r="E9" s="148" t="s">
        <v>97</v>
      </c>
      <c r="F9" s="148"/>
      <c r="G9" s="148"/>
      <c r="H9" s="149"/>
    </row>
    <row r="10" spans="1:11" x14ac:dyDescent="0.35">
      <c r="A10" s="1"/>
      <c r="B10" s="12" t="s">
        <v>98</v>
      </c>
      <c r="C10" s="66">
        <v>0.55000000000000004</v>
      </c>
      <c r="D10" s="1" t="s">
        <v>99</v>
      </c>
      <c r="E10" s="44">
        <f>E8+E5</f>
        <v>2435796.6793999998</v>
      </c>
      <c r="F10" s="44">
        <f>F8+F5</f>
        <v>5889855.5981999999</v>
      </c>
      <c r="G10" s="44">
        <f t="shared" ref="G10:H10" si="0">G8+G5</f>
        <v>12178983.397</v>
      </c>
      <c r="H10" s="48">
        <f t="shared" si="0"/>
        <v>20105363.473999999</v>
      </c>
    </row>
    <row r="11" spans="1:11" ht="15" thickBot="1" x14ac:dyDescent="0.4">
      <c r="A11" s="1"/>
      <c r="B11" s="15"/>
      <c r="C11" s="82"/>
      <c r="D11" s="73" t="s">
        <v>100</v>
      </c>
      <c r="E11" s="74">
        <f>E10*$C$10</f>
        <v>1339688.1736699999</v>
      </c>
      <c r="F11" s="74">
        <f>F10*$C$10</f>
        <v>3239420.57901</v>
      </c>
      <c r="G11" s="74">
        <f>G10*$C$10</f>
        <v>6698440.8683500001</v>
      </c>
      <c r="H11" s="75">
        <f>H10*$C$10</f>
        <v>11057949.910700001</v>
      </c>
    </row>
    <row r="12" spans="1:11" ht="15" thickBot="1" x14ac:dyDescent="0.4">
      <c r="A12" s="1"/>
    </row>
    <row r="13" spans="1:11" x14ac:dyDescent="0.35">
      <c r="A13" s="1">
        <v>2</v>
      </c>
      <c r="B13" s="67" t="s">
        <v>101</v>
      </c>
      <c r="C13" s="52" t="s">
        <v>80</v>
      </c>
      <c r="D13" s="70"/>
      <c r="E13" s="52" t="s">
        <v>102</v>
      </c>
      <c r="F13" s="68">
        <v>0.25</v>
      </c>
      <c r="G13" s="68">
        <v>0.5</v>
      </c>
      <c r="H13" s="69">
        <v>0.75</v>
      </c>
    </row>
    <row r="14" spans="1:11" x14ac:dyDescent="0.35">
      <c r="A14" s="1"/>
      <c r="B14" s="12" t="s">
        <v>103</v>
      </c>
      <c r="C14" s="28">
        <v>1.7999999999999999E-2</v>
      </c>
      <c r="E14" s="79">
        <v>0</v>
      </c>
      <c r="F14" s="80">
        <f>($C$19*F13)*$C$18</f>
        <v>91129.332599999994</v>
      </c>
      <c r="G14" s="80">
        <f>($C$19*G13)*$C$18</f>
        <v>182258.66519999999</v>
      </c>
      <c r="H14" s="81">
        <f>($C$19*H13)*$C$18</f>
        <v>273387.99779999995</v>
      </c>
    </row>
    <row r="15" spans="1:11" x14ac:dyDescent="0.35">
      <c r="A15" s="1"/>
      <c r="B15" s="12" t="s">
        <v>104</v>
      </c>
      <c r="C15" s="30">
        <v>0.35</v>
      </c>
      <c r="E15" s="14"/>
      <c r="F15" s="14"/>
      <c r="G15" s="14"/>
      <c r="H15" s="25"/>
    </row>
    <row r="16" spans="1:11" x14ac:dyDescent="0.35">
      <c r="A16" s="1"/>
      <c r="B16" s="12" t="s">
        <v>105</v>
      </c>
      <c r="C16" s="30">
        <v>0.55000000000000004</v>
      </c>
      <c r="H16" s="13"/>
    </row>
    <row r="17" spans="1:13" x14ac:dyDescent="0.35">
      <c r="A17" s="1"/>
      <c r="B17" s="12" t="s">
        <v>106</v>
      </c>
      <c r="C17" s="30" t="s">
        <v>107</v>
      </c>
      <c r="H17" s="13"/>
    </row>
    <row r="18" spans="1:13" x14ac:dyDescent="0.35">
      <c r="A18" s="1"/>
      <c r="B18" s="12" t="s">
        <v>108</v>
      </c>
      <c r="C18" s="36">
        <v>0.2</v>
      </c>
      <c r="H18" s="13"/>
    </row>
    <row r="19" spans="1:13" ht="15" thickBot="1" x14ac:dyDescent="0.4">
      <c r="A19" s="1"/>
      <c r="B19" s="15" t="s">
        <v>109</v>
      </c>
      <c r="C19" s="31">
        <f>C1*C14</f>
        <v>1822586.6519999998</v>
      </c>
      <c r="D19" s="16"/>
      <c r="E19" s="16"/>
      <c r="F19" s="16"/>
      <c r="G19" s="16"/>
      <c r="H19" s="17"/>
    </row>
    <row r="20" spans="1:13" hidden="1" x14ac:dyDescent="0.35">
      <c r="A20" s="1">
        <v>4</v>
      </c>
      <c r="B20" s="10" t="s">
        <v>110</v>
      </c>
      <c r="C20" s="11" t="s">
        <v>80</v>
      </c>
      <c r="D20" s="20"/>
      <c r="E20" s="11" t="s">
        <v>102</v>
      </c>
      <c r="F20" s="21">
        <v>0.1</v>
      </c>
      <c r="G20" s="21">
        <v>0.25</v>
      </c>
      <c r="H20" s="22">
        <v>0.5</v>
      </c>
      <c r="J20" s="1" t="s">
        <v>81</v>
      </c>
    </row>
    <row r="21" spans="1:13" hidden="1" x14ac:dyDescent="0.35">
      <c r="A21" s="1"/>
      <c r="B21" s="12" t="s">
        <v>103</v>
      </c>
      <c r="C21" s="28"/>
      <c r="E21" s="34"/>
      <c r="F21" s="18"/>
      <c r="G21" s="18"/>
      <c r="H21" s="24"/>
      <c r="J21" t="s">
        <v>111</v>
      </c>
      <c r="K21" s="54">
        <v>5.43</v>
      </c>
      <c r="L21" t="s">
        <v>112</v>
      </c>
      <c r="M21">
        <v>3.63</v>
      </c>
    </row>
    <row r="22" spans="1:13" hidden="1" x14ac:dyDescent="0.35">
      <c r="A22" s="1"/>
      <c r="B22" s="12" t="s">
        <v>113</v>
      </c>
      <c r="C22" s="29"/>
      <c r="E22" s="14"/>
      <c r="F22" s="14"/>
      <c r="G22" s="14"/>
      <c r="H22" s="25"/>
      <c r="J22" t="s">
        <v>114</v>
      </c>
    </row>
    <row r="23" spans="1:13" hidden="1" x14ac:dyDescent="0.35">
      <c r="A23" s="1"/>
      <c r="B23" s="12" t="s">
        <v>115</v>
      </c>
      <c r="C23" s="29"/>
      <c r="H23" s="13"/>
      <c r="J23" t="s">
        <v>116</v>
      </c>
    </row>
    <row r="24" spans="1:13" hidden="1" x14ac:dyDescent="0.35">
      <c r="A24" s="1"/>
      <c r="B24" s="12" t="s">
        <v>117</v>
      </c>
      <c r="C24" s="30"/>
      <c r="H24" s="13"/>
      <c r="J24" t="s">
        <v>118</v>
      </c>
    </row>
    <row r="25" spans="1:13" hidden="1" x14ac:dyDescent="0.35">
      <c r="A25" s="1"/>
      <c r="B25" s="12" t="s">
        <v>119</v>
      </c>
      <c r="C25" s="35"/>
      <c r="H25" s="13"/>
      <c r="J25" t="s">
        <v>120</v>
      </c>
    </row>
    <row r="26" spans="1:13" ht="15" hidden="1" thickBot="1" x14ac:dyDescent="0.4">
      <c r="B26" s="15" t="s">
        <v>109</v>
      </c>
      <c r="C26" s="31"/>
      <c r="D26" s="16"/>
      <c r="E26" s="16"/>
      <c r="F26" s="16"/>
      <c r="G26" s="16"/>
      <c r="H26" s="17"/>
    </row>
    <row r="27" spans="1:13" ht="15" thickBot="1" x14ac:dyDescent="0.4">
      <c r="A27" s="1"/>
    </row>
    <row r="28" spans="1:13" x14ac:dyDescent="0.35">
      <c r="A28" s="1">
        <v>3</v>
      </c>
      <c r="B28" s="67" t="s">
        <v>121</v>
      </c>
      <c r="C28" s="52" t="s">
        <v>80</v>
      </c>
      <c r="D28" s="70"/>
      <c r="E28" s="71" t="s">
        <v>102</v>
      </c>
      <c r="F28" s="52" t="s">
        <v>42</v>
      </c>
      <c r="G28" s="71" t="s">
        <v>43</v>
      </c>
      <c r="H28" s="53" t="s">
        <v>44</v>
      </c>
    </row>
    <row r="29" spans="1:13" x14ac:dyDescent="0.35">
      <c r="B29" s="12" t="s">
        <v>122</v>
      </c>
      <c r="C29" s="40">
        <v>0.01</v>
      </c>
      <c r="D29" t="s">
        <v>123</v>
      </c>
      <c r="E29" s="45" t="s">
        <v>124</v>
      </c>
      <c r="F29" s="43">
        <v>0.2</v>
      </c>
      <c r="G29" s="46">
        <v>0.5</v>
      </c>
      <c r="H29" s="47">
        <v>0.75</v>
      </c>
    </row>
    <row r="30" spans="1:13" x14ac:dyDescent="0.35">
      <c r="B30" s="12" t="s">
        <v>125</v>
      </c>
      <c r="C30" s="41">
        <f>C1</f>
        <v>101254814</v>
      </c>
      <c r="D30" t="s">
        <v>126</v>
      </c>
      <c r="E30" s="44">
        <f>(C30/C31)*C29</f>
        <v>13870.522465753425</v>
      </c>
      <c r="F30" s="44">
        <f>(($C$30/$C$31))*($C$29-($C$29*F29))</f>
        <v>11096.41797260274</v>
      </c>
      <c r="G30" s="44">
        <f>(($C$30/$C$31))*($C$29-($C$29*G29))</f>
        <v>6935.2612328767127</v>
      </c>
      <c r="H30" s="48">
        <f>(($C$30/$C$31))*($C$29-($C$29*H29))</f>
        <v>3467.6306164383568</v>
      </c>
    </row>
    <row r="31" spans="1:13" x14ac:dyDescent="0.35">
      <c r="B31" s="12" t="s">
        <v>127</v>
      </c>
      <c r="C31" s="42">
        <v>73</v>
      </c>
      <c r="D31" t="s">
        <v>128</v>
      </c>
      <c r="E31" s="44">
        <f>E30*$C$33</f>
        <v>457727.24136986304</v>
      </c>
      <c r="F31" s="44">
        <f>F30*$C$33</f>
        <v>366181.79309589043</v>
      </c>
      <c r="G31" s="44">
        <f>G30*$C$33</f>
        <v>228863.62068493152</v>
      </c>
      <c r="H31" s="48">
        <f>H30*$C$33</f>
        <v>114431.81034246577</v>
      </c>
    </row>
    <row r="32" spans="1:13" x14ac:dyDescent="0.35">
      <c r="B32" s="12" t="s">
        <v>126</v>
      </c>
      <c r="C32" s="41">
        <f>(C30*C29)/C31</f>
        <v>13870.522465753425</v>
      </c>
      <c r="D32" t="s">
        <v>129</v>
      </c>
      <c r="E32" s="76">
        <f>E31-E31</f>
        <v>0</v>
      </c>
      <c r="F32" s="76">
        <f>$E$31-F31</f>
        <v>91545.448273972608</v>
      </c>
      <c r="G32" s="76">
        <f>$E$31-G31</f>
        <v>228863.62068493152</v>
      </c>
      <c r="H32" s="77">
        <f>$E$31-H31</f>
        <v>343295.43102739728</v>
      </c>
    </row>
    <row r="33" spans="1:10" ht="15" thickBot="1" x14ac:dyDescent="0.4">
      <c r="B33" s="15" t="s">
        <v>130</v>
      </c>
      <c r="C33" s="27">
        <v>33</v>
      </c>
      <c r="D33" s="16"/>
      <c r="E33" s="16"/>
      <c r="F33" s="16"/>
      <c r="G33" s="16"/>
      <c r="H33" s="17"/>
    </row>
    <row r="34" spans="1:10" ht="15" thickBot="1" x14ac:dyDescent="0.4">
      <c r="A34" s="1"/>
    </row>
    <row r="35" spans="1:10" x14ac:dyDescent="0.35">
      <c r="A35" s="1">
        <v>4</v>
      </c>
      <c r="B35" s="67" t="s">
        <v>73</v>
      </c>
      <c r="C35" s="52" t="s">
        <v>80</v>
      </c>
      <c r="D35" s="70"/>
      <c r="E35" s="71" t="s">
        <v>102</v>
      </c>
      <c r="F35" s="52" t="s">
        <v>42</v>
      </c>
      <c r="G35" s="71" t="s">
        <v>43</v>
      </c>
      <c r="H35" s="53" t="s">
        <v>44</v>
      </c>
    </row>
    <row r="36" spans="1:10" x14ac:dyDescent="0.35">
      <c r="B36" s="12" t="s">
        <v>131</v>
      </c>
      <c r="C36" s="26">
        <v>50000</v>
      </c>
      <c r="G36" s="78">
        <v>50000</v>
      </c>
      <c r="H36" s="47"/>
    </row>
    <row r="37" spans="1:10" ht="15" thickBot="1" x14ac:dyDescent="0.4">
      <c r="B37" s="15"/>
      <c r="C37" s="27"/>
      <c r="D37" s="16"/>
      <c r="E37" s="16"/>
      <c r="F37" s="16"/>
      <c r="G37" s="16"/>
      <c r="H37" s="17"/>
    </row>
    <row r="38" spans="1:10" ht="15" thickBot="1" x14ac:dyDescent="0.4"/>
    <row r="39" spans="1:10" x14ac:dyDescent="0.35">
      <c r="A39" s="1">
        <v>5</v>
      </c>
      <c r="B39" s="67" t="s">
        <v>132</v>
      </c>
      <c r="C39" s="52" t="s">
        <v>80</v>
      </c>
      <c r="D39" s="70"/>
      <c r="E39" s="52" t="s">
        <v>102</v>
      </c>
      <c r="F39" s="52" t="s">
        <v>42</v>
      </c>
      <c r="G39" s="71" t="s">
        <v>43</v>
      </c>
      <c r="H39" s="53" t="s">
        <v>44</v>
      </c>
      <c r="I39" s="1">
        <v>5</v>
      </c>
      <c r="J39" s="1" t="s">
        <v>81</v>
      </c>
    </row>
    <row r="40" spans="1:10" x14ac:dyDescent="0.35">
      <c r="B40" s="111" t="s">
        <v>133</v>
      </c>
      <c r="C40" s="113">
        <f>4034000*0.25</f>
        <v>1008500</v>
      </c>
      <c r="F40" s="114">
        <v>0.1</v>
      </c>
      <c r="G40" s="114">
        <v>0.25</v>
      </c>
      <c r="H40" s="112">
        <v>0.5</v>
      </c>
      <c r="J40" s="32" t="s">
        <v>134</v>
      </c>
    </row>
    <row r="41" spans="1:10" x14ac:dyDescent="0.35">
      <c r="B41" s="111"/>
      <c r="C41" s="26"/>
      <c r="F41" s="14">
        <f>$C$40*F40</f>
        <v>100850</v>
      </c>
      <c r="G41" s="14">
        <f t="shared" ref="G41:H41" si="1">$C$40*G40</f>
        <v>252125</v>
      </c>
      <c r="H41" s="25">
        <f t="shared" si="1"/>
        <v>504250</v>
      </c>
    </row>
    <row r="42" spans="1:10" ht="15" thickBot="1" x14ac:dyDescent="0.4">
      <c r="B42" s="15"/>
      <c r="C42" s="110"/>
      <c r="D42" s="16"/>
      <c r="E42" s="16"/>
      <c r="F42" s="16"/>
      <c r="G42" s="16"/>
      <c r="H42" s="17"/>
    </row>
  </sheetData>
  <mergeCells count="1">
    <mergeCell ref="E9:H9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B43D5-C811-4B6B-867D-4F753C257A2E}">
  <dimension ref="A1:J14"/>
  <sheetViews>
    <sheetView showGridLines="0" zoomScale="110" zoomScaleNormal="110" workbookViewId="0">
      <selection activeCell="B21" sqref="B21"/>
    </sheetView>
  </sheetViews>
  <sheetFormatPr defaultRowHeight="14.5" x14ac:dyDescent="0.35"/>
  <cols>
    <col min="1" max="1" width="2" bestFit="1" customWidth="1"/>
    <col min="2" max="2" width="42.26953125" bestFit="1" customWidth="1"/>
    <col min="3" max="3" width="13.26953125" bestFit="1" customWidth="1"/>
    <col min="4" max="4" width="25.81640625" bestFit="1" customWidth="1"/>
    <col min="5" max="5" width="14.26953125" customWidth="1"/>
    <col min="6" max="7" width="10.54296875" bestFit="1" customWidth="1"/>
  </cols>
  <sheetData>
    <row r="1" spans="1:10" ht="15" thickBot="1" x14ac:dyDescent="0.4"/>
    <row r="2" spans="1:10" x14ac:dyDescent="0.35">
      <c r="A2">
        <v>1</v>
      </c>
      <c r="B2" s="67" t="s">
        <v>135</v>
      </c>
      <c r="C2" s="52" t="s">
        <v>80</v>
      </c>
      <c r="D2" s="52"/>
      <c r="E2" s="68" t="s">
        <v>136</v>
      </c>
      <c r="F2" s="68" t="s">
        <v>137</v>
      </c>
      <c r="G2" s="69" t="s">
        <v>138</v>
      </c>
    </row>
    <row r="3" spans="1:10" x14ac:dyDescent="0.35">
      <c r="B3" s="12" t="s">
        <v>139</v>
      </c>
      <c r="C3" s="62">
        <v>3999</v>
      </c>
      <c r="D3" s="1" t="s">
        <v>140</v>
      </c>
      <c r="E3" s="109">
        <v>7</v>
      </c>
      <c r="F3" s="109">
        <v>4</v>
      </c>
      <c r="G3" s="83">
        <v>1</v>
      </c>
      <c r="J3" t="s">
        <v>141</v>
      </c>
    </row>
    <row r="4" spans="1:10" x14ac:dyDescent="0.35">
      <c r="B4" s="12" t="s">
        <v>142</v>
      </c>
      <c r="C4" s="63">
        <v>1.25</v>
      </c>
      <c r="D4" t="s">
        <v>143</v>
      </c>
      <c r="E4" s="19">
        <f>((($C$3*12)*$C$4)*E3)</f>
        <v>419895</v>
      </c>
      <c r="F4" s="19">
        <f t="shared" ref="F4:G4" si="0">((($C$3*12)*$C$4)*F3)</f>
        <v>239940</v>
      </c>
      <c r="G4" s="23">
        <f t="shared" si="0"/>
        <v>59985</v>
      </c>
      <c r="J4" t="s">
        <v>144</v>
      </c>
    </row>
    <row r="5" spans="1:10" x14ac:dyDescent="0.35">
      <c r="B5" s="12" t="s">
        <v>145</v>
      </c>
      <c r="C5" s="63">
        <v>4</v>
      </c>
      <c r="D5" s="1" t="s">
        <v>146</v>
      </c>
      <c r="E5" s="19"/>
      <c r="F5" s="19"/>
      <c r="G5" s="23"/>
      <c r="J5" t="s">
        <v>147</v>
      </c>
    </row>
    <row r="6" spans="1:10" x14ac:dyDescent="0.35">
      <c r="B6" s="12" t="s">
        <v>148</v>
      </c>
      <c r="C6" s="65">
        <f>'Benefit Assumption'!C1</f>
        <v>101254814</v>
      </c>
      <c r="D6" t="s">
        <v>149</v>
      </c>
      <c r="E6" s="19">
        <f>$C$6*$C$7</f>
        <v>151882.22099999999</v>
      </c>
      <c r="F6" s="19">
        <f t="shared" ref="F6:G6" si="1">$C$6*$C$7</f>
        <v>151882.22099999999</v>
      </c>
      <c r="G6" s="23">
        <f t="shared" si="1"/>
        <v>151882.22099999999</v>
      </c>
      <c r="J6" t="s">
        <v>150</v>
      </c>
    </row>
    <row r="7" spans="1:10" x14ac:dyDescent="0.35">
      <c r="B7" s="122" t="s">
        <v>151</v>
      </c>
      <c r="C7" s="123">
        <v>1.5E-3</v>
      </c>
      <c r="D7" s="124"/>
      <c r="E7" s="124"/>
      <c r="F7" s="124"/>
      <c r="G7" s="125"/>
    </row>
    <row r="8" spans="1:10" ht="15" thickBot="1" x14ac:dyDescent="0.4">
      <c r="B8" s="126"/>
      <c r="C8" s="127"/>
      <c r="D8" s="73"/>
      <c r="E8" s="116">
        <f>SUM(E4:E6)</f>
        <v>571777.22100000002</v>
      </c>
      <c r="F8" s="116">
        <f>SUM(F4:F6)</f>
        <v>391822.22100000002</v>
      </c>
      <c r="G8" s="117">
        <f>SUM(G4:G6)</f>
        <v>211867.22099999999</v>
      </c>
    </row>
    <row r="13" spans="1:10" x14ac:dyDescent="0.35">
      <c r="E13" s="14"/>
    </row>
    <row r="14" spans="1:10" x14ac:dyDescent="0.35">
      <c r="E14" s="14"/>
      <c r="F14" s="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AA3FA-D7A9-415C-B9B0-5B82EF52F12E}">
  <dimension ref="A1:F62"/>
  <sheetViews>
    <sheetView workbookViewId="0">
      <selection activeCell="A3" sqref="A3"/>
    </sheetView>
  </sheetViews>
  <sheetFormatPr defaultRowHeight="14.5" x14ac:dyDescent="0.35"/>
  <cols>
    <col min="1" max="1" width="46.81640625" bestFit="1" customWidth="1"/>
    <col min="2" max="2" width="11.54296875" bestFit="1" customWidth="1"/>
    <col min="3" max="3" width="23.26953125" style="108" bestFit="1" customWidth="1"/>
    <col min="4" max="4" width="13.26953125" bestFit="1" customWidth="1"/>
    <col min="6" max="6" width="9.54296875" style="8" bestFit="1" customWidth="1"/>
  </cols>
  <sheetData>
    <row r="1" spans="1:6" x14ac:dyDescent="0.35">
      <c r="A1" s="9" t="s">
        <v>152</v>
      </c>
      <c r="B1" s="9" t="s">
        <v>153</v>
      </c>
      <c r="C1" s="104" t="s">
        <v>154</v>
      </c>
      <c r="D1" s="9" t="s">
        <v>155</v>
      </c>
      <c r="E1" s="9" t="s">
        <v>127</v>
      </c>
      <c r="F1" s="103" t="s">
        <v>156</v>
      </c>
    </row>
    <row r="2" spans="1:6" x14ac:dyDescent="0.35">
      <c r="A2" t="s">
        <v>157</v>
      </c>
      <c r="B2" s="7">
        <v>34896</v>
      </c>
      <c r="C2" s="105">
        <v>22903841</v>
      </c>
      <c r="D2" s="7">
        <v>406433</v>
      </c>
      <c r="E2">
        <v>73</v>
      </c>
      <c r="F2" s="8">
        <f>C2/B2</f>
        <v>656.34574163227876</v>
      </c>
    </row>
    <row r="3" spans="1:6" x14ac:dyDescent="0.35">
      <c r="A3" t="s">
        <v>158</v>
      </c>
      <c r="B3" s="7">
        <v>1782</v>
      </c>
      <c r="C3" s="105">
        <v>12054510</v>
      </c>
      <c r="D3" s="7">
        <v>217873</v>
      </c>
      <c r="F3" s="8">
        <f t="shared" ref="F3:F60" si="0">C3/B3</f>
        <v>6764.5959595959594</v>
      </c>
    </row>
    <row r="4" spans="1:6" x14ac:dyDescent="0.35">
      <c r="A4" t="s">
        <v>159</v>
      </c>
      <c r="B4" s="7">
        <v>116636</v>
      </c>
      <c r="C4" s="106" t="s">
        <v>160</v>
      </c>
      <c r="D4" s="7">
        <v>180878</v>
      </c>
      <c r="F4" s="8">
        <f t="shared" si="0"/>
        <v>107.07228471483933</v>
      </c>
    </row>
    <row r="5" spans="1:6" x14ac:dyDescent="0.35">
      <c r="A5" t="s">
        <v>161</v>
      </c>
      <c r="B5" s="7">
        <v>37266</v>
      </c>
      <c r="C5" s="107" t="s">
        <v>162</v>
      </c>
      <c r="D5" s="7">
        <v>155055</v>
      </c>
      <c r="F5" s="8">
        <f t="shared" si="0"/>
        <v>265.62528846669886</v>
      </c>
    </row>
    <row r="6" spans="1:6" x14ac:dyDescent="0.35">
      <c r="A6" t="s">
        <v>163</v>
      </c>
      <c r="B6" s="7">
        <v>43055</v>
      </c>
      <c r="C6" s="107" t="s">
        <v>164</v>
      </c>
      <c r="D6" s="7">
        <v>94499</v>
      </c>
      <c r="F6" s="8">
        <f t="shared" si="0"/>
        <v>140.50581813958891</v>
      </c>
    </row>
    <row r="7" spans="1:6" x14ac:dyDescent="0.35">
      <c r="A7" t="s">
        <v>165</v>
      </c>
      <c r="B7" s="7">
        <v>2326</v>
      </c>
      <c r="C7" s="107" t="s">
        <v>166</v>
      </c>
      <c r="D7" s="7">
        <v>64589</v>
      </c>
      <c r="F7" s="8">
        <f t="shared" si="0"/>
        <v>1910.0713671539122</v>
      </c>
    </row>
    <row r="8" spans="1:6" x14ac:dyDescent="0.35">
      <c r="A8" t="s">
        <v>167</v>
      </c>
      <c r="B8" s="7">
        <v>6038</v>
      </c>
      <c r="C8" s="107" t="s">
        <v>168</v>
      </c>
      <c r="D8" s="7">
        <v>62890</v>
      </c>
      <c r="F8" s="8">
        <f t="shared" si="0"/>
        <v>714.6606492215966</v>
      </c>
    </row>
    <row r="9" spans="1:6" x14ac:dyDescent="0.35">
      <c r="A9" t="s">
        <v>169</v>
      </c>
      <c r="B9" s="7">
        <v>3158</v>
      </c>
      <c r="C9" s="107" t="s">
        <v>170</v>
      </c>
      <c r="D9" s="7">
        <v>54905</v>
      </c>
      <c r="F9" s="8">
        <f t="shared" si="0"/>
        <v>1218.9138695376821</v>
      </c>
    </row>
    <row r="10" spans="1:6" x14ac:dyDescent="0.35">
      <c r="A10" t="s">
        <v>171</v>
      </c>
      <c r="B10" s="7">
        <v>9101</v>
      </c>
      <c r="C10" s="106" t="s">
        <v>172</v>
      </c>
      <c r="D10" s="7">
        <v>52138</v>
      </c>
      <c r="F10" s="8">
        <f t="shared" si="0"/>
        <v>412.75607076145479</v>
      </c>
    </row>
    <row r="11" spans="1:6" x14ac:dyDescent="0.35">
      <c r="A11" t="s">
        <v>173</v>
      </c>
      <c r="B11" s="7">
        <v>2548</v>
      </c>
      <c r="C11" s="106" t="s">
        <v>174</v>
      </c>
      <c r="D11" s="7">
        <v>48481</v>
      </c>
      <c r="F11" s="8">
        <f t="shared" si="0"/>
        <v>1096.4164050235479</v>
      </c>
    </row>
    <row r="12" spans="1:6" x14ac:dyDescent="0.35">
      <c r="A12" t="s">
        <v>175</v>
      </c>
      <c r="B12" s="7">
        <v>23832</v>
      </c>
      <c r="C12" s="106" t="s">
        <v>176</v>
      </c>
      <c r="D12" s="7">
        <v>39476</v>
      </c>
      <c r="F12" s="8">
        <f t="shared" si="0"/>
        <v>113.65462403491104</v>
      </c>
    </row>
    <row r="13" spans="1:6" x14ac:dyDescent="0.35">
      <c r="A13" t="s">
        <v>177</v>
      </c>
      <c r="B13" s="7">
        <v>9194</v>
      </c>
      <c r="C13" s="106" t="s">
        <v>178</v>
      </c>
      <c r="D13" s="7">
        <v>30995</v>
      </c>
      <c r="F13" s="8">
        <f t="shared" si="0"/>
        <v>232.47335218620839</v>
      </c>
    </row>
    <row r="14" spans="1:6" x14ac:dyDescent="0.35">
      <c r="A14" t="s">
        <v>179</v>
      </c>
      <c r="B14" s="7">
        <v>1397</v>
      </c>
      <c r="C14" s="106" t="s">
        <v>180</v>
      </c>
      <c r="D14" s="7">
        <v>27478</v>
      </c>
      <c r="F14" s="8">
        <f t="shared" si="0"/>
        <v>1186.4330708661416</v>
      </c>
    </row>
    <row r="15" spans="1:6" x14ac:dyDescent="0.35">
      <c r="A15" t="s">
        <v>181</v>
      </c>
      <c r="B15" s="7">
        <v>1185</v>
      </c>
      <c r="C15" s="106" t="s">
        <v>182</v>
      </c>
      <c r="D15" s="7">
        <v>21756</v>
      </c>
      <c r="F15" s="8">
        <f t="shared" si="0"/>
        <v>1152.4962025316456</v>
      </c>
    </row>
    <row r="16" spans="1:6" x14ac:dyDescent="0.35">
      <c r="A16" t="s">
        <v>183</v>
      </c>
      <c r="B16" s="7">
        <v>2358</v>
      </c>
      <c r="C16" s="106" t="s">
        <v>184</v>
      </c>
      <c r="D16" s="7">
        <v>21555</v>
      </c>
      <c r="F16" s="8">
        <f t="shared" si="0"/>
        <v>719.96522476675148</v>
      </c>
    </row>
    <row r="17" spans="1:6" x14ac:dyDescent="0.35">
      <c r="A17" t="s">
        <v>185</v>
      </c>
      <c r="B17" s="7">
        <v>1430</v>
      </c>
      <c r="C17" s="106" t="s">
        <v>186</v>
      </c>
      <c r="D17" s="7">
        <v>19196</v>
      </c>
      <c r="F17" s="8">
        <f t="shared" si="0"/>
        <v>957.08111888111887</v>
      </c>
    </row>
    <row r="18" spans="1:6" x14ac:dyDescent="0.35">
      <c r="A18" t="s">
        <v>187</v>
      </c>
      <c r="B18" s="7">
        <v>7065</v>
      </c>
      <c r="C18" s="106" t="s">
        <v>188</v>
      </c>
      <c r="D18" s="7">
        <v>17441</v>
      </c>
      <c r="F18" s="8">
        <f t="shared" si="0"/>
        <v>164.37622080679407</v>
      </c>
    </row>
    <row r="19" spans="1:6" x14ac:dyDescent="0.35">
      <c r="A19" t="s">
        <v>189</v>
      </c>
      <c r="B19" s="7">
        <v>9328</v>
      </c>
      <c r="C19" s="106" t="s">
        <v>190</v>
      </c>
      <c r="D19" s="7">
        <v>14913</v>
      </c>
      <c r="F19" s="8">
        <f t="shared" si="0"/>
        <v>108.04706260720411</v>
      </c>
    </row>
    <row r="20" spans="1:6" x14ac:dyDescent="0.35">
      <c r="A20" t="s">
        <v>191</v>
      </c>
      <c r="B20" s="7">
        <v>4033</v>
      </c>
      <c r="C20" s="106" t="s">
        <v>192</v>
      </c>
      <c r="D20" s="7">
        <v>10749</v>
      </c>
      <c r="F20" s="8">
        <f t="shared" si="0"/>
        <v>168.59955368212249</v>
      </c>
    </row>
    <row r="21" spans="1:6" x14ac:dyDescent="0.35">
      <c r="A21" t="s">
        <v>193</v>
      </c>
      <c r="B21" s="7">
        <v>1225</v>
      </c>
      <c r="C21" s="106" t="s">
        <v>194</v>
      </c>
      <c r="D21" s="7">
        <v>10485</v>
      </c>
      <c r="F21" s="8">
        <f t="shared" si="0"/>
        <v>451.46693877551019</v>
      </c>
    </row>
    <row r="22" spans="1:6" x14ac:dyDescent="0.35">
      <c r="A22" t="s">
        <v>195</v>
      </c>
      <c r="B22">
        <v>168</v>
      </c>
      <c r="C22" s="106" t="s">
        <v>196</v>
      </c>
      <c r="D22" s="7">
        <v>9577</v>
      </c>
      <c r="F22" s="8">
        <f t="shared" si="0"/>
        <v>2520.8392857142858</v>
      </c>
    </row>
    <row r="23" spans="1:6" x14ac:dyDescent="0.35">
      <c r="A23" t="s">
        <v>197</v>
      </c>
      <c r="B23">
        <v>358</v>
      </c>
      <c r="C23" s="106" t="s">
        <v>198</v>
      </c>
      <c r="D23" s="7">
        <v>9519</v>
      </c>
      <c r="F23" s="8">
        <f t="shared" si="0"/>
        <v>1716.5111731843576</v>
      </c>
    </row>
    <row r="24" spans="1:6" x14ac:dyDescent="0.35">
      <c r="A24" t="s">
        <v>199</v>
      </c>
      <c r="B24" s="7">
        <v>2377</v>
      </c>
      <c r="C24" s="106" t="s">
        <v>200</v>
      </c>
      <c r="D24" s="7">
        <v>6166</v>
      </c>
      <c r="F24" s="8">
        <f t="shared" si="0"/>
        <v>176.6310475389146</v>
      </c>
    </row>
    <row r="25" spans="1:6" x14ac:dyDescent="0.35">
      <c r="A25" t="s">
        <v>201</v>
      </c>
      <c r="B25" s="7">
        <v>4141</v>
      </c>
      <c r="C25" s="106" t="s">
        <v>202</v>
      </c>
      <c r="D25" s="7">
        <v>6085</v>
      </c>
      <c r="F25" s="8">
        <f t="shared" si="0"/>
        <v>105.07896643322869</v>
      </c>
    </row>
    <row r="26" spans="1:6" x14ac:dyDescent="0.35">
      <c r="A26" t="s">
        <v>203</v>
      </c>
      <c r="B26">
        <v>305</v>
      </c>
      <c r="C26" s="106" t="s">
        <v>204</v>
      </c>
      <c r="D26" s="7">
        <v>5766</v>
      </c>
      <c r="F26" s="8">
        <f t="shared" si="0"/>
        <v>1282.9049180327868</v>
      </c>
    </row>
    <row r="27" spans="1:6" x14ac:dyDescent="0.35">
      <c r="A27" t="s">
        <v>205</v>
      </c>
      <c r="B27">
        <v>828</v>
      </c>
      <c r="C27" s="106" t="s">
        <v>206</v>
      </c>
      <c r="D27" s="7">
        <v>5184</v>
      </c>
      <c r="F27" s="8">
        <f t="shared" si="0"/>
        <v>445.72222222222223</v>
      </c>
    </row>
    <row r="28" spans="1:6" x14ac:dyDescent="0.35">
      <c r="A28" t="s">
        <v>207</v>
      </c>
      <c r="B28">
        <v>60</v>
      </c>
      <c r="C28" s="106" t="s">
        <v>208</v>
      </c>
      <c r="D28" s="7">
        <v>4775</v>
      </c>
      <c r="F28" s="8">
        <f t="shared" si="0"/>
        <v>5432.0166666666664</v>
      </c>
    </row>
    <row r="29" spans="1:6" x14ac:dyDescent="0.35">
      <c r="A29" t="s">
        <v>209</v>
      </c>
      <c r="B29">
        <v>346</v>
      </c>
      <c r="C29" s="106" t="s">
        <v>210</v>
      </c>
      <c r="D29" s="7">
        <v>4634</v>
      </c>
      <c r="F29" s="8">
        <f t="shared" si="0"/>
        <v>845.54046242774564</v>
      </c>
    </row>
    <row r="30" spans="1:6" x14ac:dyDescent="0.35">
      <c r="A30" t="s">
        <v>211</v>
      </c>
      <c r="B30">
        <v>388</v>
      </c>
      <c r="C30" s="106" t="s">
        <v>212</v>
      </c>
      <c r="D30" s="7">
        <v>2864</v>
      </c>
      <c r="F30" s="8">
        <f t="shared" si="0"/>
        <v>516.50257731958766</v>
      </c>
    </row>
    <row r="31" spans="1:6" x14ac:dyDescent="0.35">
      <c r="A31" t="s">
        <v>213</v>
      </c>
      <c r="B31" s="7">
        <v>1243</v>
      </c>
      <c r="C31" s="106" t="s">
        <v>214</v>
      </c>
      <c r="D31" s="7">
        <v>2369</v>
      </c>
      <c r="F31" s="8">
        <f t="shared" si="0"/>
        <v>135.72888173773129</v>
      </c>
    </row>
    <row r="32" spans="1:6" x14ac:dyDescent="0.35">
      <c r="A32" t="s">
        <v>215</v>
      </c>
      <c r="B32">
        <v>958</v>
      </c>
      <c r="C32" s="106" t="s">
        <v>216</v>
      </c>
      <c r="D32" s="7">
        <v>2359</v>
      </c>
      <c r="F32" s="8">
        <f t="shared" si="0"/>
        <v>163.21294363256786</v>
      </c>
    </row>
    <row r="33" spans="1:6" x14ac:dyDescent="0.35">
      <c r="A33" t="s">
        <v>217</v>
      </c>
      <c r="B33" s="7">
        <v>1236</v>
      </c>
      <c r="C33" s="106" t="s">
        <v>218</v>
      </c>
      <c r="D33" s="7">
        <v>2344</v>
      </c>
      <c r="F33" s="8">
        <f t="shared" si="0"/>
        <v>130.25242718446603</v>
      </c>
    </row>
    <row r="34" spans="1:6" x14ac:dyDescent="0.35">
      <c r="A34" t="s">
        <v>219</v>
      </c>
      <c r="B34">
        <v>746</v>
      </c>
      <c r="C34" s="106" t="s">
        <v>220</v>
      </c>
      <c r="D34" s="7">
        <v>2181</v>
      </c>
      <c r="F34" s="8">
        <f t="shared" si="0"/>
        <v>176.75469168900804</v>
      </c>
    </row>
    <row r="35" spans="1:6" x14ac:dyDescent="0.35">
      <c r="A35" t="s">
        <v>221</v>
      </c>
      <c r="B35">
        <v>711</v>
      </c>
      <c r="C35" s="106" t="s">
        <v>222</v>
      </c>
      <c r="D35" s="7">
        <v>1167</v>
      </c>
      <c r="F35" s="8">
        <f t="shared" si="0"/>
        <v>123.69479606188467</v>
      </c>
    </row>
    <row r="36" spans="1:6" x14ac:dyDescent="0.35">
      <c r="A36" t="s">
        <v>223</v>
      </c>
      <c r="B36">
        <v>799</v>
      </c>
      <c r="C36" s="106" t="s">
        <v>224</v>
      </c>
      <c r="D36" s="7">
        <v>1115</v>
      </c>
      <c r="F36" s="8">
        <f t="shared" si="0"/>
        <v>106.60575719649562</v>
      </c>
    </row>
    <row r="37" spans="1:6" x14ac:dyDescent="0.35">
      <c r="A37" t="s">
        <v>225</v>
      </c>
      <c r="B37">
        <v>258</v>
      </c>
      <c r="C37" s="106" t="s">
        <v>226</v>
      </c>
      <c r="D37">
        <v>290</v>
      </c>
      <c r="F37" s="8">
        <f t="shared" si="0"/>
        <v>84.13565891472868</v>
      </c>
    </row>
    <row r="38" spans="1:6" x14ac:dyDescent="0.35">
      <c r="A38" t="s">
        <v>227</v>
      </c>
      <c r="B38">
        <v>151</v>
      </c>
      <c r="C38" s="106" t="s">
        <v>228</v>
      </c>
      <c r="D38">
        <v>261</v>
      </c>
      <c r="F38" s="8">
        <f t="shared" si="0"/>
        <v>151.43046357615893</v>
      </c>
    </row>
    <row r="39" spans="1:6" x14ac:dyDescent="0.35">
      <c r="A39" t="s">
        <v>229</v>
      </c>
      <c r="B39">
        <v>228</v>
      </c>
      <c r="C39" s="106" t="s">
        <v>230</v>
      </c>
      <c r="D39">
        <v>253</v>
      </c>
      <c r="F39" s="8">
        <f t="shared" si="0"/>
        <v>82.890350877192986</v>
      </c>
    </row>
    <row r="40" spans="1:6" x14ac:dyDescent="0.35">
      <c r="A40" t="s">
        <v>231</v>
      </c>
      <c r="B40">
        <v>153</v>
      </c>
      <c r="C40" s="106" t="s">
        <v>232</v>
      </c>
      <c r="D40">
        <v>219</v>
      </c>
      <c r="F40" s="8">
        <f t="shared" si="0"/>
        <v>96.699346405228752</v>
      </c>
    </row>
    <row r="41" spans="1:6" x14ac:dyDescent="0.35">
      <c r="A41" t="s">
        <v>233</v>
      </c>
      <c r="B41">
        <v>156</v>
      </c>
      <c r="C41" s="106" t="s">
        <v>234</v>
      </c>
      <c r="D41">
        <v>201</v>
      </c>
      <c r="F41" s="8">
        <f t="shared" si="0"/>
        <v>92.67307692307692</v>
      </c>
    </row>
    <row r="42" spans="1:6" x14ac:dyDescent="0.35">
      <c r="A42" t="s">
        <v>235</v>
      </c>
      <c r="B42">
        <v>123</v>
      </c>
      <c r="C42" s="106" t="s">
        <v>236</v>
      </c>
      <c r="D42">
        <v>183</v>
      </c>
      <c r="F42" s="8">
        <f t="shared" si="0"/>
        <v>125.96747967479675</v>
      </c>
    </row>
    <row r="43" spans="1:6" x14ac:dyDescent="0.35">
      <c r="A43" t="s">
        <v>237</v>
      </c>
      <c r="B43">
        <v>134</v>
      </c>
      <c r="C43" s="106" t="s">
        <v>238</v>
      </c>
      <c r="D43">
        <v>177</v>
      </c>
      <c r="F43" s="8">
        <f t="shared" si="0"/>
        <v>100.6268656716418</v>
      </c>
    </row>
    <row r="44" spans="1:6" x14ac:dyDescent="0.35">
      <c r="A44" t="s">
        <v>239</v>
      </c>
      <c r="B44">
        <v>120</v>
      </c>
      <c r="C44" s="106" t="s">
        <v>240</v>
      </c>
      <c r="D44">
        <v>146</v>
      </c>
      <c r="F44" s="8">
        <f t="shared" si="0"/>
        <v>94.983333333333334</v>
      </c>
    </row>
    <row r="45" spans="1:6" x14ac:dyDescent="0.35">
      <c r="A45" t="s">
        <v>241</v>
      </c>
      <c r="B45">
        <v>68</v>
      </c>
      <c r="C45" s="106" t="s">
        <v>242</v>
      </c>
      <c r="D45">
        <v>133</v>
      </c>
      <c r="F45" s="8">
        <f t="shared" si="0"/>
        <v>171.04411764705881</v>
      </c>
    </row>
    <row r="46" spans="1:6" x14ac:dyDescent="0.35">
      <c r="A46" t="s">
        <v>243</v>
      </c>
      <c r="B46">
        <v>96</v>
      </c>
      <c r="C46" s="106" t="s">
        <v>244</v>
      </c>
      <c r="D46">
        <v>126</v>
      </c>
      <c r="F46" s="8">
        <f t="shared" si="0"/>
        <v>94.9375</v>
      </c>
    </row>
    <row r="47" spans="1:6" x14ac:dyDescent="0.35">
      <c r="A47" t="s">
        <v>245</v>
      </c>
      <c r="B47">
        <v>79</v>
      </c>
      <c r="C47" s="106" t="s">
        <v>246</v>
      </c>
      <c r="D47">
        <v>106</v>
      </c>
      <c r="F47" s="8">
        <f t="shared" si="0"/>
        <v>90.164556962025316</v>
      </c>
    </row>
    <row r="48" spans="1:6" x14ac:dyDescent="0.35">
      <c r="A48" t="s">
        <v>247</v>
      </c>
      <c r="B48">
        <v>73</v>
      </c>
      <c r="C48" s="106" t="s">
        <v>248</v>
      </c>
      <c r="D48">
        <v>102</v>
      </c>
      <c r="F48" s="8">
        <f t="shared" si="0"/>
        <v>96.369863013698634</v>
      </c>
    </row>
    <row r="49" spans="1:6" x14ac:dyDescent="0.35">
      <c r="A49" t="s">
        <v>249</v>
      </c>
      <c r="B49">
        <v>82</v>
      </c>
      <c r="C49" s="106" t="s">
        <v>250</v>
      </c>
      <c r="D49">
        <v>90</v>
      </c>
      <c r="F49" s="8">
        <f t="shared" si="0"/>
        <v>74.280487804878049</v>
      </c>
    </row>
    <row r="50" spans="1:6" x14ac:dyDescent="0.35">
      <c r="A50" t="s">
        <v>251</v>
      </c>
      <c r="B50">
        <v>89</v>
      </c>
      <c r="C50" s="106" t="s">
        <v>252</v>
      </c>
      <c r="D50">
        <v>89</v>
      </c>
      <c r="F50" s="8">
        <f t="shared" si="0"/>
        <v>73.651685393258433</v>
      </c>
    </row>
    <row r="51" spans="1:6" x14ac:dyDescent="0.35">
      <c r="A51" t="s">
        <v>253</v>
      </c>
      <c r="B51">
        <v>54</v>
      </c>
      <c r="C51" s="106" t="s">
        <v>254</v>
      </c>
      <c r="D51">
        <v>78</v>
      </c>
      <c r="F51" s="8">
        <f t="shared" si="0"/>
        <v>107.25925925925925</v>
      </c>
    </row>
    <row r="52" spans="1:6" x14ac:dyDescent="0.35">
      <c r="A52" t="s">
        <v>255</v>
      </c>
      <c r="B52">
        <v>74</v>
      </c>
      <c r="C52" s="106" t="s">
        <v>256</v>
      </c>
      <c r="D52">
        <v>77</v>
      </c>
      <c r="F52" s="8">
        <f t="shared" si="0"/>
        <v>75.027027027027032</v>
      </c>
    </row>
    <row r="53" spans="1:6" x14ac:dyDescent="0.35">
      <c r="A53" t="s">
        <v>257</v>
      </c>
      <c r="B53">
        <v>61</v>
      </c>
      <c r="C53" s="106" t="s">
        <v>258</v>
      </c>
      <c r="D53">
        <v>68</v>
      </c>
      <c r="F53" s="8">
        <f t="shared" si="0"/>
        <v>79.557377049180332</v>
      </c>
    </row>
    <row r="54" spans="1:6" x14ac:dyDescent="0.35">
      <c r="A54" t="s">
        <v>259</v>
      </c>
      <c r="B54">
        <v>66</v>
      </c>
      <c r="C54" s="106" t="s">
        <v>260</v>
      </c>
      <c r="D54">
        <v>67</v>
      </c>
      <c r="F54" s="8">
        <f t="shared" si="0"/>
        <v>78.969696969696969</v>
      </c>
    </row>
    <row r="55" spans="1:6" x14ac:dyDescent="0.35">
      <c r="A55" t="s">
        <v>261</v>
      </c>
      <c r="B55">
        <v>42</v>
      </c>
      <c r="C55" s="106" t="s">
        <v>262</v>
      </c>
      <c r="D55">
        <v>66</v>
      </c>
      <c r="F55" s="8">
        <f t="shared" si="0"/>
        <v>115.4047619047619</v>
      </c>
    </row>
    <row r="56" spans="1:6" x14ac:dyDescent="0.35">
      <c r="A56" t="s">
        <v>263</v>
      </c>
      <c r="B56">
        <v>56</v>
      </c>
      <c r="C56" s="106" t="s">
        <v>264</v>
      </c>
      <c r="D56">
        <v>56</v>
      </c>
      <c r="F56" s="8">
        <f t="shared" si="0"/>
        <v>83.571428571428569</v>
      </c>
    </row>
    <row r="57" spans="1:6" x14ac:dyDescent="0.35">
      <c r="A57" t="s">
        <v>265</v>
      </c>
      <c r="B57">
        <v>41</v>
      </c>
      <c r="C57" s="106" t="s">
        <v>266</v>
      </c>
      <c r="D57">
        <v>41</v>
      </c>
      <c r="F57" s="8">
        <f t="shared" si="0"/>
        <v>71.365853658536579</v>
      </c>
    </row>
    <row r="58" spans="1:6" x14ac:dyDescent="0.35">
      <c r="A58" t="s">
        <v>267</v>
      </c>
      <c r="B58">
        <v>24</v>
      </c>
      <c r="C58" s="106" t="s">
        <v>268</v>
      </c>
      <c r="D58">
        <v>24</v>
      </c>
      <c r="F58" s="8">
        <f t="shared" si="0"/>
        <v>86.666666666666671</v>
      </c>
    </row>
    <row r="59" spans="1:6" x14ac:dyDescent="0.35">
      <c r="A59" t="s">
        <v>269</v>
      </c>
      <c r="B59">
        <v>227</v>
      </c>
      <c r="C59" s="106" t="s">
        <v>270</v>
      </c>
      <c r="D59">
        <v>-794</v>
      </c>
      <c r="F59" s="8" t="e">
        <f t="shared" si="0"/>
        <v>#VALUE!</v>
      </c>
    </row>
    <row r="60" spans="1:6" x14ac:dyDescent="0.35">
      <c r="A60" t="s">
        <v>271</v>
      </c>
      <c r="B60">
        <v>594</v>
      </c>
      <c r="C60" s="106" t="s">
        <v>272</v>
      </c>
      <c r="D60" s="7">
        <v>-1759</v>
      </c>
      <c r="F60" s="8" t="e">
        <f t="shared" si="0"/>
        <v>#VALUE!</v>
      </c>
    </row>
    <row r="62" spans="1:6" x14ac:dyDescent="0.35">
      <c r="A62" t="s">
        <v>28</v>
      </c>
      <c r="B62" s="7">
        <f>SUM(B2:B60)</f>
        <v>335566</v>
      </c>
      <c r="C62" s="105">
        <v>101254814</v>
      </c>
      <c r="D62" s="8">
        <f>SUM(D2:D60)</f>
        <v>1618190</v>
      </c>
    </row>
  </sheetData>
  <sortState xmlns:xlrd2="http://schemas.microsoft.com/office/spreadsheetml/2017/richdata2" ref="A2:D60">
    <sortCondition descending="1" ref="D2:D6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ROI</vt:lpstr>
      <vt:lpstr>Scenario</vt:lpstr>
      <vt:lpstr>Benefit Assumption</vt:lpstr>
      <vt:lpstr>Cost Assumptions</vt:lpstr>
      <vt:lpstr>Wholesale FY25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 Pires</dc:creator>
  <cp:keywords/>
  <dc:description/>
  <cp:lastModifiedBy>Dylan Fender</cp:lastModifiedBy>
  <cp:revision/>
  <dcterms:created xsi:type="dcterms:W3CDTF">2025-07-11T13:20:53Z</dcterms:created>
  <dcterms:modified xsi:type="dcterms:W3CDTF">2025-08-08T15:12:19Z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